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08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<sst xmlns="http://schemas.openxmlformats.org/spreadsheetml/2006/main" count="877" uniqueCount="328">
  <si>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</si>
  <si>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</si>
  <si>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</si>
  <si>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</si>
  <si>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</si>
  <si>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</si>
  <si>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</si>
  <si>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</si>
  <si>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</si>
  <si>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</si>
  <si>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</si>
  <si>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</si>
  <si>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</si>
  <si>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</si>
  <si>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</si>
  <si>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</si>
  <si>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</si>
  <si>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</si>
  <si>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</si>
  <si>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</si>
  <si>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</si>
  <si>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</si>
  <si>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</si>
  <si>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</si>
  <si>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</si>
  <si>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</si>
  <si>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</si>
  <si>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</si>
  <si>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</si>
  <si>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</si>
  <si>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</si>
  <si>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</si>
  <si>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</si>
  <si>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</si>
  <si>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</si>
  <si>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</si>
  <si>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</si>
  <si>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</si>
  <si>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</si>
  <si>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</si>
  <si>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</si>
  <si>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</si>
  <si>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</si>
  <si>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</si>
  <si>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</si>
  <si>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</si>
  <si>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</si>
  <si>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</si>
  <si>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</si>
  <si>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</si>
  <si>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</si>
  <si>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</si>
  <si>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</si>
  <si>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</si>
  <si>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</si>
  <si>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</si>
  <si>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</si>
  <si>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</si>
  <si>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</si>
  <si>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</si>
  <si>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</si>
  <si>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</si>
  <si>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</si>
  <si>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</si>
  <si>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</si>
  <si>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</si>
  <si>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</si>
  <si>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</si>
  <si>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</si>
  <si>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</si>
  <si>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</si>
  <si>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</si>
  <si>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</si>
  <si>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</si>
  <si>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</si>
  <si>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</si>
  <si>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</si>
  <si>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</si>
  <si>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</si>
  <si>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</si>
  <si>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</si>
  <si>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</si>
  <si>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</si>
  <si>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</si>
  <si>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</si>
  <si>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</si>
  <si>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</si>
  <si>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</si>
  <si>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</si>
  <si>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</si>
  <si>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</si>
  <si>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</si>
  <si>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</si>
  <si>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</si>
  <si>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</si>
  <si>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</si>
  <si>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</si>
  <si>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</si>
  <si>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</si>
  <si>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</si>
  <si>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</si>
  <si>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</si>
  <si>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</si>
  <si>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</si>
  <si>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</si>
  <si>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</si>
  <si>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</si>
  <si>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</si>
  <si>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</si>
  <si>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</si>
  <si>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</si>
  <si>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</si>
  <si>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</si>
  <si>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</si>
  <si>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</si>
  <si>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</si>
  <si>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</si>
  <si>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</si>
  <si>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</si>
  <si>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</si>
  <si>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</si>
  <si>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</si>
  <si>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</si>
  <si>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</si>
  <si>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</si>
  <si>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</si>
  <si>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</si>
  <si>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</si>
  <si>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</si>
  <si>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</si>
  <si>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</si>
  <si>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</si>
  <si>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</si>
  <si>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</si>
  <si>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</si>
  <si>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</si>
  <si>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</si>
  <si>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</si>
  <si>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</si>
  <si>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</si>
  <si>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</si>
  <si>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</si>
  <si>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</si>
  <si>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</si>
  <si>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</si>
  <si>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</si>
  <si>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</si>
  <si>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</si>
  <si>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</si>
  <si>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</si>
  <si>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</si>
  <si>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</si>
  <si>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</si>
  <si>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</si>
  <si>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</si>
  <si>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</si>
  <si>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</si>
  <si>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</si>
  <si>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</si>
  <si>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</si>
  <si>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</si>
  <si>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</si>
  <si>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</si>
  <si>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</si>
  <si>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</si>
  <si>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</si>
  <si>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</si>
  <si>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</si>
  <si>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</si>
  <si>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</si>
  <si>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</si>
  <si>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</si>
  <si>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</si>
  <si>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</si>
  <si>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</si>
  <si>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</si>
  <si>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</si>
  <si>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</si>
  <si>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</si>
  <si>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</si>
  <si>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</si>
  <si>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</si>
  <si>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</si>
  <si>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</si>
  <si>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</si>
  <si>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</si>
  <si>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</si>
  <si>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</si>
  <si>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</si>
  <si>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</si>
  <si>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</si>
  <si>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</si>
  <si>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</si>
  <si>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</si>
  <si>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</si>
  <si>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</si>
  <si>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</si>
  <si>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</si>
  <si>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</si>
  <si>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</si>
  <si>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</si>
  <si>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</si>
  <si>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</si>
  <si>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</si>
  <si>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</si>
  <si>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</si>
  <si>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</si>
  <si>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</si>
  <si>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</si>
  <si>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</si>
  <si>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</si>
  <si>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</si>
  <si>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</si>
  <si>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</si>
  <si>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</si>
  <si>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</si>
  <si>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</si>
  <si>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</si>
  <si>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</si>
  <si>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</si>
  <si>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</si>
  <si>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</si>
  <si>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</si>
  <si>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</si>
  <si>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</si>
  <si>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</si>
  <si>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</si>
  <si>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</si>
  <si>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</si>
  <si>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</si>
  <si>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</si>
  <si>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</si>
  <si>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</si>
  <si>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</si>
  <si>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</si>
  <si>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</si>
  <si>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</si>
  <si>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</si>
  <si>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</si>
  <si>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</si>
  <si>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</si>
  <si>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</si>
  <si>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</si>
  <si>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</si>
  <si>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</si>
  <si>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</si>
  <si>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</si>
  <si>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</si>
  <si>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</si>
  <si>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</si>
  <si>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</si>
  <si>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</si>
  <si>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</si>
  <si>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</si>
  <si>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</si>
  <si>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</si>
  <si>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</si>
  <si>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</si>
  <si>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</si>
  <si>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</si>
  <si>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</si>
  <si>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</si>
  <si>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</si>
  <si>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</si>
  <si>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</si>
  <si>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</si>
  <si>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</si>
  <si>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</si>
  <si>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</si>
  <si>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</si>
  <si>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</si>
  <si>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</si>
  <si>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</si>
  <si>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</si>
  <si>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</si>
  <si>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</si>
  <si>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</si>
  <si>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</si>
  <si>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</si>
  <si>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</si>
  <si>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</si>
  <si>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</si>
  <si>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</si>
  <si>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</si>
  <si>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</si>
  <si>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</si>
  <si>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</si>
  <si>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</si>
  <si>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</si>
  <si>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</si>
  <si>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</si>
  <si>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</si>
  <si>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</si>
  <si>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</si>
  <si>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</si>
  <si>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</si>
  <si>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</si>
  <si>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</si>
  <si>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</si>
  <si>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</si>
  <si>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</si>
  <si>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</si>
  <si>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</si>
  <si>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</si>
  <si>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</si>
  <si>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</si>
  <si>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</si>
  <si>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</si>
  <si>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</si>
  <si>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</si>
  <si>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</si>
  <si>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</si>
  <si>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</si>
  <si>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</si>
  <si>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</si>
  <si>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</si>
  <si>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</si>
  <si>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</si>
  <si>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</si>
  <si>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</si>
  <si>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</si>
  <si>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>01</t>
  </si>
  <si>
    <t>913.1004.04300R0840.000.16</t>
  </si>
  <si>
    <t>284</t>
  </si>
  <si>
    <t>913.1003.9910091100.321.11</t>
  </si>
  <si>
    <t xml:space="preserve"> на 1 августа</t>
  </si>
  <si>
    <t>01.08.2016</t>
  </si>
  <si>
    <t>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</si>
</sst>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10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11" fillId="0" borderId="30" xfId="0" applyNumberFormat="1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1" fillId="0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indent="2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2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8" fillId="0" borderId="4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1" xfId="0" applyFont="1" applyBorder="1" applyAlignment="1">
      <alignment/>
    </xf>
    <xf numFmtId="0" fontId="9" fillId="0" borderId="17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0" fillId="0" borderId="49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3"/>
  <sheetViews>
    <sheetView view="pageBreakPreview" zoomScale="120" zoomScaleSheetLayoutView="120" zoomScalePageLayoutView="0" workbookViewId="0" topLeftCell="AF123">
      <selection activeCell="A46" sqref="A46:FJ137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</row>
    <row r="2" spans="1:166" ht="1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</row>
    <row r="3" spans="1:166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6" t="s">
        <v>54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5" t="s">
        <v>210</v>
      </c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</row>
    <row r="6" spans="147:166" ht="15" customHeight="1">
      <c r="EQ6" s="2" t="s">
        <v>1</v>
      </c>
      <c r="ET6" s="137" t="s">
        <v>21</v>
      </c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9"/>
    </row>
    <row r="7" spans="60:166" ht="15" customHeight="1">
      <c r="BH7" s="2" t="s">
        <v>2</v>
      </c>
      <c r="BJ7" s="141" t="s">
        <v>325</v>
      </c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2">
        <v>201</v>
      </c>
      <c r="CF7" s="142"/>
      <c r="CG7" s="142"/>
      <c r="CH7" s="142"/>
      <c r="CI7" s="142"/>
      <c r="CJ7" s="143">
        <v>6</v>
      </c>
      <c r="CK7" s="143"/>
      <c r="CM7" s="1" t="s">
        <v>3</v>
      </c>
      <c r="EQ7" s="2" t="s">
        <v>0</v>
      </c>
      <c r="ET7" s="144" t="s">
        <v>326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46.5" customHeight="1">
      <c r="A8" s="156" t="s">
        <v>50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1"/>
      <c r="BD8" s="11"/>
      <c r="BE8" s="11"/>
      <c r="BF8" s="11"/>
      <c r="BG8" s="11"/>
      <c r="BH8" s="11"/>
      <c r="BI8" s="11"/>
      <c r="BJ8" s="11"/>
      <c r="BK8" s="155" t="s">
        <v>55</v>
      </c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Q8" s="2" t="s">
        <v>11</v>
      </c>
      <c r="ET8" s="147" t="s">
        <v>56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9"/>
    </row>
    <row r="9" spans="1:166" ht="15" customHeight="1">
      <c r="A9" s="1" t="s">
        <v>4</v>
      </c>
      <c r="V9" s="143" t="s">
        <v>68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G9" s="158" t="s">
        <v>47</v>
      </c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T9" s="144" t="s">
        <v>57</v>
      </c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ht="15" customHeight="1">
      <c r="A10" s="1" t="s">
        <v>48</v>
      </c>
      <c r="P10" s="158" t="s">
        <v>207</v>
      </c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G10" s="150" t="s">
        <v>206</v>
      </c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5"/>
      <c r="ET10" s="144" t="s">
        <v>197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60"/>
      <c r="EK11" s="160"/>
      <c r="EL11" s="160"/>
      <c r="EM11" s="160"/>
      <c r="EN11" s="160"/>
      <c r="EO11" s="160"/>
      <c r="EP11" s="160"/>
      <c r="EQ11" s="160"/>
      <c r="ER11" s="160"/>
      <c r="ES11" s="161"/>
      <c r="ET11" s="144" t="s">
        <v>43</v>
      </c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6"/>
    </row>
    <row r="12" spans="1:166" ht="21.75" customHeight="1" thickBot="1">
      <c r="A12" s="1" t="s">
        <v>5</v>
      </c>
      <c r="EQ12" s="2" t="s">
        <v>6</v>
      </c>
      <c r="ET12" s="152">
        <v>383</v>
      </c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4"/>
    </row>
    <row r="13" ht="6" customHeight="1" hidden="1"/>
    <row r="14" spans="1:166" ht="14.25" customHeight="1">
      <c r="A14" s="126" t="s">
        <v>12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</row>
    <row r="15" ht="9" customHeight="1"/>
    <row r="16" spans="1:166" ht="11.25" customHeight="1">
      <c r="A16" s="127" t="s">
        <v>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 t="s">
        <v>15</v>
      </c>
      <c r="AO16" s="127"/>
      <c r="AP16" s="127"/>
      <c r="AQ16" s="127"/>
      <c r="AR16" s="127"/>
      <c r="AS16" s="127"/>
      <c r="AT16" s="131" t="s">
        <v>44</v>
      </c>
      <c r="AU16" s="132"/>
      <c r="AV16" s="132"/>
      <c r="AW16" s="132"/>
      <c r="AX16" s="132"/>
      <c r="AY16" s="132"/>
      <c r="AZ16" s="132"/>
      <c r="BA16" s="132"/>
      <c r="BB16" s="133"/>
      <c r="BC16" s="12"/>
      <c r="BD16" s="12"/>
      <c r="BE16" s="12"/>
      <c r="BF16" s="12"/>
      <c r="BG16" s="12"/>
      <c r="BH16" s="12"/>
      <c r="BI16" s="12"/>
      <c r="BJ16" s="12" t="s">
        <v>45</v>
      </c>
      <c r="BK16" s="131" t="s">
        <v>49</v>
      </c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3"/>
      <c r="CF16" s="130" t="s">
        <v>16</v>
      </c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9"/>
      <c r="ET16" s="127" t="s">
        <v>20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</row>
    <row r="17" spans="1:166" ht="57.7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34"/>
      <c r="AU17" s="135"/>
      <c r="AV17" s="135"/>
      <c r="AW17" s="135"/>
      <c r="AX17" s="135"/>
      <c r="AY17" s="135"/>
      <c r="AZ17" s="135"/>
      <c r="BA17" s="135"/>
      <c r="BB17" s="136"/>
      <c r="BC17" s="12"/>
      <c r="BD17" s="12"/>
      <c r="BE17" s="12"/>
      <c r="BF17" s="12"/>
      <c r="BG17" s="12"/>
      <c r="BH17" s="12"/>
      <c r="BI17" s="12"/>
      <c r="BJ17" s="12"/>
      <c r="BK17" s="134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6"/>
      <c r="CF17" s="128" t="s">
        <v>46</v>
      </c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9"/>
      <c r="CW17" s="130" t="s">
        <v>17</v>
      </c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30" t="s">
        <v>18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9"/>
      <c r="EE17" s="130" t="s">
        <v>19</v>
      </c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9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</row>
    <row r="18" spans="1:166" ht="12" thickBot="1">
      <c r="A18" s="162">
        <v>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4"/>
      <c r="AN18" s="118">
        <v>2</v>
      </c>
      <c r="AO18" s="119"/>
      <c r="AP18" s="119"/>
      <c r="AQ18" s="119"/>
      <c r="AR18" s="119"/>
      <c r="AS18" s="120"/>
      <c r="AT18" s="118">
        <v>3</v>
      </c>
      <c r="AU18" s="119"/>
      <c r="AV18" s="119"/>
      <c r="AW18" s="119"/>
      <c r="AX18" s="119"/>
      <c r="AY18" s="119"/>
      <c r="AZ18" s="119"/>
      <c r="BA18" s="119"/>
      <c r="BB18" s="120"/>
      <c r="BC18" s="13"/>
      <c r="BD18" s="13"/>
      <c r="BE18" s="13"/>
      <c r="BF18" s="13"/>
      <c r="BG18" s="13"/>
      <c r="BH18" s="13"/>
      <c r="BI18" s="13"/>
      <c r="BJ18" s="13">
        <v>4</v>
      </c>
      <c r="BK18" s="118">
        <v>4</v>
      </c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18">
        <v>5</v>
      </c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20"/>
      <c r="CW18" s="118">
        <v>6</v>
      </c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20"/>
      <c r="DN18" s="118">
        <v>7</v>
      </c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  <c r="EE18" s="118">
        <v>8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  <c r="ET18" s="165">
        <v>9</v>
      </c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</row>
    <row r="19" spans="1:166" ht="15" customHeight="1" thickBot="1">
      <c r="A19" s="166" t="s">
        <v>13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8" t="s">
        <v>22</v>
      </c>
      <c r="AO19" s="169"/>
      <c r="AP19" s="169"/>
      <c r="AQ19" s="169"/>
      <c r="AR19" s="169"/>
      <c r="AS19" s="169"/>
      <c r="AT19" s="170" t="s">
        <v>42</v>
      </c>
      <c r="AU19" s="171"/>
      <c r="AV19" s="171"/>
      <c r="AW19" s="171"/>
      <c r="AX19" s="171"/>
      <c r="AY19" s="171"/>
      <c r="AZ19" s="171"/>
      <c r="BA19" s="171"/>
      <c r="BB19" s="172"/>
      <c r="BC19" s="17"/>
      <c r="BD19" s="17"/>
      <c r="BE19" s="17"/>
      <c r="BF19" s="17"/>
      <c r="BG19" s="17"/>
      <c r="BH19" s="17"/>
      <c r="BI19" s="17"/>
      <c r="BJ19" s="17">
        <f>-CF19</f>
        <v>-144110366.02000004</v>
      </c>
      <c r="BK19" s="121">
        <f>SUM(BK20:CE32)</f>
        <v>225212200</v>
      </c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3"/>
      <c r="CF19" s="72">
        <f>SUM(CF20:CV32)</f>
        <v>144110366.02000004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 t="s">
        <v>43</v>
      </c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 t="s">
        <v>43</v>
      </c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aca="true" t="shared" si="0" ref="EE19:EE30">SUM(CF19)</f>
        <v>144110366.02000004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8">
        <f aca="true" t="shared" si="1" ref="ET19:ET32">SUM(BK19-EE19)</f>
        <v>81101833.97999996</v>
      </c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9"/>
    </row>
    <row r="20" spans="1:166" ht="43.5" customHeight="1" thickBot="1">
      <c r="A20" s="173" t="s">
        <v>109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124" t="s">
        <v>22</v>
      </c>
      <c r="AO20" s="125"/>
      <c r="AP20" s="125"/>
      <c r="AQ20" s="125"/>
      <c r="AR20" s="125"/>
      <c r="AS20" s="125"/>
      <c r="AT20" s="69" t="s">
        <v>108</v>
      </c>
      <c r="AU20" s="70"/>
      <c r="AV20" s="70"/>
      <c r="AW20" s="70"/>
      <c r="AX20" s="70"/>
      <c r="AY20" s="70"/>
      <c r="AZ20" s="70"/>
      <c r="BA20" s="70"/>
      <c r="BB20" s="71"/>
      <c r="BC20" s="18"/>
      <c r="BD20" s="18"/>
      <c r="BE20" s="18"/>
      <c r="BF20" s="18"/>
      <c r="BG20" s="18"/>
      <c r="BH20" s="18"/>
      <c r="BI20" s="18"/>
      <c r="BJ20" s="19" t="s">
        <v>43</v>
      </c>
      <c r="BK20" s="75">
        <v>4651.12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7"/>
      <c r="CF20" s="65">
        <v>8789.7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72">
        <f t="shared" si="0"/>
        <v>8789.7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8">
        <f t="shared" si="1"/>
        <v>-4138.580000000001</v>
      </c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9"/>
    </row>
    <row r="21" spans="1:166" ht="43.5" customHeight="1" thickBot="1">
      <c r="A21" s="93" t="s">
        <v>293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66" t="s">
        <v>22</v>
      </c>
      <c r="AO21" s="67"/>
      <c r="AP21" s="67"/>
      <c r="AQ21" s="67"/>
      <c r="AR21" s="67"/>
      <c r="AS21" s="68"/>
      <c r="AT21" s="69" t="s">
        <v>292</v>
      </c>
      <c r="AU21" s="70"/>
      <c r="AV21" s="70"/>
      <c r="AW21" s="70"/>
      <c r="AX21" s="70"/>
      <c r="AY21" s="70"/>
      <c r="AZ21" s="70"/>
      <c r="BA21" s="70"/>
      <c r="BB21" s="71"/>
      <c r="BC21" s="18"/>
      <c r="BD21" s="18"/>
      <c r="BE21" s="18"/>
      <c r="BF21" s="18"/>
      <c r="BG21" s="18"/>
      <c r="BH21" s="18"/>
      <c r="BI21" s="18"/>
      <c r="BJ21" s="20" t="s">
        <v>43</v>
      </c>
      <c r="BK21" s="75">
        <v>2130700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7"/>
      <c r="CF21" s="65">
        <v>0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72">
        <f>SUM(CF21)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8">
        <f t="shared" si="1"/>
        <v>2130700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49.5" customHeight="1" thickBot="1">
      <c r="A22" s="93" t="s">
        <v>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73" t="s">
        <v>22</v>
      </c>
      <c r="AO22" s="74"/>
      <c r="AP22" s="74"/>
      <c r="AQ22" s="74"/>
      <c r="AR22" s="74"/>
      <c r="AS22" s="74"/>
      <c r="AT22" s="69" t="s">
        <v>62</v>
      </c>
      <c r="AU22" s="70"/>
      <c r="AV22" s="70"/>
      <c r="AW22" s="70"/>
      <c r="AX22" s="70"/>
      <c r="AY22" s="70"/>
      <c r="AZ22" s="70"/>
      <c r="BA22" s="70"/>
      <c r="BB22" s="71"/>
      <c r="BC22" s="18"/>
      <c r="BD22" s="18"/>
      <c r="BE22" s="18"/>
      <c r="BF22" s="18"/>
      <c r="BG22" s="18"/>
      <c r="BH22" s="18"/>
      <c r="BI22" s="18"/>
      <c r="BJ22" s="20" t="s">
        <v>43</v>
      </c>
      <c r="BK22" s="75">
        <f>12606300+1944900</f>
        <v>14551200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7"/>
      <c r="CF22" s="65">
        <v>13669234.35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72">
        <f t="shared" si="0"/>
        <v>13669234.35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8">
        <f t="shared" si="1"/>
        <v>881965.6500000004</v>
      </c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9"/>
    </row>
    <row r="23" spans="1:166" ht="72" customHeight="1" thickBot="1">
      <c r="A23" s="93" t="s">
        <v>203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73" t="s">
        <v>22</v>
      </c>
      <c r="AO23" s="74"/>
      <c r="AP23" s="74"/>
      <c r="AQ23" s="74"/>
      <c r="AR23" s="74"/>
      <c r="AS23" s="74"/>
      <c r="AT23" s="69" t="s">
        <v>202</v>
      </c>
      <c r="AU23" s="70"/>
      <c r="AV23" s="70"/>
      <c r="AW23" s="70"/>
      <c r="AX23" s="70"/>
      <c r="AY23" s="70"/>
      <c r="AZ23" s="70"/>
      <c r="BA23" s="70"/>
      <c r="BB23" s="71"/>
      <c r="BC23" s="18"/>
      <c r="BD23" s="18"/>
      <c r="BE23" s="18"/>
      <c r="BF23" s="18"/>
      <c r="BG23" s="18"/>
      <c r="BH23" s="18"/>
      <c r="BI23" s="18"/>
      <c r="BJ23" s="20" t="s">
        <v>43</v>
      </c>
      <c r="BK23" s="75">
        <v>1111900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7"/>
      <c r="CF23" s="65">
        <v>1111878.61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72">
        <f>SUM(CF23)</f>
        <v>1111878.61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8">
        <f>SUM(BK23-EE23)</f>
        <v>21.389999999897555</v>
      </c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9"/>
    </row>
    <row r="24" spans="1:166" ht="70.5" customHeight="1" thickBot="1">
      <c r="A24" s="93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73" t="s">
        <v>22</v>
      </c>
      <c r="AO24" s="74"/>
      <c r="AP24" s="74"/>
      <c r="AQ24" s="74"/>
      <c r="AR24" s="74"/>
      <c r="AS24" s="74"/>
      <c r="AT24" s="69" t="s">
        <v>65</v>
      </c>
      <c r="AU24" s="70"/>
      <c r="AV24" s="70"/>
      <c r="AW24" s="70"/>
      <c r="AX24" s="70"/>
      <c r="AY24" s="70"/>
      <c r="AZ24" s="70"/>
      <c r="BA24" s="70"/>
      <c r="BB24" s="71"/>
      <c r="BC24" s="18"/>
      <c r="BD24" s="18"/>
      <c r="BE24" s="18"/>
      <c r="BF24" s="18"/>
      <c r="BG24" s="18"/>
      <c r="BH24" s="18"/>
      <c r="BI24" s="18"/>
      <c r="BJ24" s="20" t="s">
        <v>43</v>
      </c>
      <c r="BK24" s="75">
        <v>13700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7"/>
      <c r="CF24" s="65">
        <v>4972.91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78">
        <f t="shared" si="0"/>
        <v>4972.91</v>
      </c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>
        <f t="shared" si="1"/>
        <v>8727.09</v>
      </c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9"/>
    </row>
    <row r="25" spans="1:166" ht="57" customHeight="1" thickBot="1">
      <c r="A25" s="93" t="s">
        <v>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16" t="s">
        <v>22</v>
      </c>
      <c r="AO25" s="117"/>
      <c r="AP25" s="117"/>
      <c r="AQ25" s="117"/>
      <c r="AR25" s="117"/>
      <c r="AS25" s="117"/>
      <c r="AT25" s="69" t="s">
        <v>58</v>
      </c>
      <c r="AU25" s="70"/>
      <c r="AV25" s="70"/>
      <c r="AW25" s="70"/>
      <c r="AX25" s="70"/>
      <c r="AY25" s="70"/>
      <c r="AZ25" s="70"/>
      <c r="BA25" s="70"/>
      <c r="BB25" s="71"/>
      <c r="BC25" s="18"/>
      <c r="BD25" s="18"/>
      <c r="BE25" s="18"/>
      <c r="BF25" s="18"/>
      <c r="BG25" s="18"/>
      <c r="BH25" s="18"/>
      <c r="BI25" s="18"/>
      <c r="BJ25" s="20" t="s">
        <v>43</v>
      </c>
      <c r="BK25" s="75">
        <v>337300</v>
      </c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7"/>
      <c r="CF25" s="65">
        <v>162264.96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176">
        <f t="shared" si="0"/>
        <v>162264.96</v>
      </c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78">
        <f t="shared" si="1"/>
        <v>175035.04</v>
      </c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9"/>
    </row>
    <row r="26" spans="1:166" ht="45.75" customHeight="1" thickBot="1">
      <c r="A26" s="93" t="s">
        <v>61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116" t="s">
        <v>22</v>
      </c>
      <c r="AO26" s="117"/>
      <c r="AP26" s="117"/>
      <c r="AQ26" s="117"/>
      <c r="AR26" s="117"/>
      <c r="AS26" s="117"/>
      <c r="AT26" s="69" t="s">
        <v>59</v>
      </c>
      <c r="AU26" s="70"/>
      <c r="AV26" s="70"/>
      <c r="AW26" s="70"/>
      <c r="AX26" s="70"/>
      <c r="AY26" s="70"/>
      <c r="AZ26" s="70"/>
      <c r="BA26" s="70"/>
      <c r="BB26" s="71"/>
      <c r="BC26" s="18"/>
      <c r="BD26" s="18"/>
      <c r="BE26" s="18"/>
      <c r="BF26" s="18"/>
      <c r="BG26" s="18"/>
      <c r="BH26" s="18"/>
      <c r="BI26" s="18"/>
      <c r="BJ26" s="20" t="s">
        <v>43</v>
      </c>
      <c r="BK26" s="75">
        <f>8060900-99700</f>
        <v>7961200</v>
      </c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7"/>
      <c r="CF26" s="65">
        <v>7160012.26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72">
        <f t="shared" si="0"/>
        <v>7160012.26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8">
        <f t="shared" si="1"/>
        <v>801187.7400000002</v>
      </c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9"/>
    </row>
    <row r="27" spans="1:166" ht="45.75" customHeight="1" thickBot="1">
      <c r="A27" s="93" t="s">
        <v>120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66" t="s">
        <v>22</v>
      </c>
      <c r="AO27" s="67"/>
      <c r="AP27" s="67"/>
      <c r="AQ27" s="67"/>
      <c r="AR27" s="67"/>
      <c r="AS27" s="68"/>
      <c r="AT27" s="69" t="s">
        <v>112</v>
      </c>
      <c r="AU27" s="70"/>
      <c r="AV27" s="70"/>
      <c r="AW27" s="70"/>
      <c r="AX27" s="70"/>
      <c r="AY27" s="70"/>
      <c r="AZ27" s="70"/>
      <c r="BA27" s="70"/>
      <c r="BB27" s="71"/>
      <c r="BC27" s="18"/>
      <c r="BD27" s="18"/>
      <c r="BE27" s="18"/>
      <c r="BF27" s="18"/>
      <c r="BG27" s="18"/>
      <c r="BH27" s="18"/>
      <c r="BI27" s="18"/>
      <c r="BJ27" s="20" t="s">
        <v>43</v>
      </c>
      <c r="BK27" s="75">
        <f>165892000-57200+4026500+84400</f>
        <v>169945700</v>
      </c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7"/>
      <c r="CF27" s="65">
        <v>104738077.61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72">
        <f t="shared" si="0"/>
        <v>104738077.61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8">
        <f>SUM(BK27-EE27)</f>
        <v>65207622.39</v>
      </c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9"/>
    </row>
    <row r="28" spans="1:166" ht="82.5" customHeight="1" thickBot="1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66" t="s">
        <v>22</v>
      </c>
      <c r="AO28" s="67"/>
      <c r="AP28" s="67"/>
      <c r="AQ28" s="67"/>
      <c r="AR28" s="67"/>
      <c r="AS28" s="68"/>
      <c r="AT28" s="69" t="s">
        <v>67</v>
      </c>
      <c r="AU28" s="70"/>
      <c r="AV28" s="70"/>
      <c r="AW28" s="70"/>
      <c r="AX28" s="70"/>
      <c r="AY28" s="70"/>
      <c r="AZ28" s="70"/>
      <c r="BA28" s="70"/>
      <c r="BB28" s="71"/>
      <c r="BC28" s="18"/>
      <c r="BD28" s="18"/>
      <c r="BE28" s="18"/>
      <c r="BF28" s="18"/>
      <c r="BG28" s="18"/>
      <c r="BH28" s="18"/>
      <c r="BI28" s="18"/>
      <c r="BJ28" s="20" t="s">
        <v>43</v>
      </c>
      <c r="BK28" s="75">
        <v>265400</v>
      </c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7"/>
      <c r="CF28" s="65">
        <v>66217.56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72">
        <f t="shared" si="0"/>
        <v>66217.56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8">
        <f>SUM(BK28-EE28)</f>
        <v>199182.44</v>
      </c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9"/>
    </row>
    <row r="29" spans="1:166" ht="82.5" customHeight="1" thickBot="1">
      <c r="A29" s="93" t="s">
        <v>200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66" t="s">
        <v>22</v>
      </c>
      <c r="AO29" s="67"/>
      <c r="AP29" s="67"/>
      <c r="AQ29" s="67"/>
      <c r="AR29" s="67"/>
      <c r="AS29" s="68"/>
      <c r="AT29" s="69" t="s">
        <v>201</v>
      </c>
      <c r="AU29" s="70"/>
      <c r="AV29" s="70"/>
      <c r="AW29" s="70"/>
      <c r="AX29" s="70"/>
      <c r="AY29" s="70"/>
      <c r="AZ29" s="70"/>
      <c r="BA29" s="70"/>
      <c r="BB29" s="71"/>
      <c r="BC29" s="18"/>
      <c r="BD29" s="18"/>
      <c r="BE29" s="18"/>
      <c r="BF29" s="18"/>
      <c r="BG29" s="18"/>
      <c r="BH29" s="18"/>
      <c r="BI29" s="18"/>
      <c r="BJ29" s="20" t="s">
        <v>43</v>
      </c>
      <c r="BK29" s="75">
        <v>8252300</v>
      </c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65">
        <v>4814295.42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72">
        <f>SUM(CF29)</f>
        <v>4814295.42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8">
        <f>SUM(BK29-EE29)</f>
        <v>3438004.58</v>
      </c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9"/>
    </row>
    <row r="30" spans="1:166" ht="103.5" customHeight="1" thickBot="1">
      <c r="A30" s="93" t="s">
        <v>169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66" t="s">
        <v>22</v>
      </c>
      <c r="AO30" s="67"/>
      <c r="AP30" s="67"/>
      <c r="AQ30" s="67"/>
      <c r="AR30" s="67"/>
      <c r="AS30" s="68"/>
      <c r="AT30" s="69" t="s">
        <v>168</v>
      </c>
      <c r="AU30" s="70"/>
      <c r="AV30" s="70"/>
      <c r="AW30" s="70"/>
      <c r="AX30" s="70"/>
      <c r="AY30" s="70"/>
      <c r="AZ30" s="70"/>
      <c r="BA30" s="70"/>
      <c r="BB30" s="71"/>
      <c r="BC30" s="18"/>
      <c r="BD30" s="18"/>
      <c r="BE30" s="18"/>
      <c r="BF30" s="18"/>
      <c r="BG30" s="18"/>
      <c r="BH30" s="18"/>
      <c r="BI30" s="18"/>
      <c r="BJ30" s="20" t="s">
        <v>43</v>
      </c>
      <c r="BK30" s="75">
        <v>19777800</v>
      </c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65">
        <v>11852886.73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72">
        <f t="shared" si="0"/>
        <v>11852886.73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8">
        <f>SUM(BK30-EE30)</f>
        <v>7924913.27</v>
      </c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9"/>
    </row>
    <row r="31" spans="1:166" ht="72.75" customHeight="1" thickBot="1">
      <c r="A31" s="93" t="s">
        <v>209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66" t="s">
        <v>22</v>
      </c>
      <c r="AO31" s="67"/>
      <c r="AP31" s="67"/>
      <c r="AQ31" s="67"/>
      <c r="AR31" s="67"/>
      <c r="AS31" s="68"/>
      <c r="AT31" s="69" t="s">
        <v>208</v>
      </c>
      <c r="AU31" s="70"/>
      <c r="AV31" s="70"/>
      <c r="AW31" s="70"/>
      <c r="AX31" s="70"/>
      <c r="AY31" s="70"/>
      <c r="AZ31" s="70"/>
      <c r="BA31" s="70"/>
      <c r="BB31" s="71"/>
      <c r="BC31" s="18"/>
      <c r="BD31" s="18"/>
      <c r="BE31" s="18"/>
      <c r="BF31" s="18"/>
      <c r="BG31" s="18"/>
      <c r="BH31" s="18"/>
      <c r="BI31" s="18"/>
      <c r="BJ31" s="20" t="s">
        <v>43</v>
      </c>
      <c r="BK31" s="75">
        <v>865000</v>
      </c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  <c r="CF31" s="65">
        <v>530525.61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72">
        <f>SUM(CF31)</f>
        <v>530525.61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8">
        <f>SUM(BK31-EE31)</f>
        <v>334474.39</v>
      </c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9"/>
    </row>
    <row r="32" spans="1:166" ht="51.75" customHeight="1">
      <c r="A32" s="93" t="s">
        <v>111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66" t="s">
        <v>22</v>
      </c>
      <c r="AO32" s="67"/>
      <c r="AP32" s="67"/>
      <c r="AQ32" s="67"/>
      <c r="AR32" s="67"/>
      <c r="AS32" s="68"/>
      <c r="AT32" s="69" t="s">
        <v>110</v>
      </c>
      <c r="AU32" s="70"/>
      <c r="AV32" s="70"/>
      <c r="AW32" s="70"/>
      <c r="AX32" s="70"/>
      <c r="AY32" s="70"/>
      <c r="AZ32" s="70"/>
      <c r="BA32" s="70"/>
      <c r="BB32" s="71"/>
      <c r="BC32" s="18"/>
      <c r="BD32" s="18"/>
      <c r="BE32" s="18"/>
      <c r="BF32" s="18"/>
      <c r="BG32" s="18"/>
      <c r="BH32" s="18"/>
      <c r="BI32" s="18"/>
      <c r="BJ32" s="20" t="s">
        <v>43</v>
      </c>
      <c r="BK32" s="75">
        <v>-4651.12</v>
      </c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7"/>
      <c r="CF32" s="65">
        <v>-8789.7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>
        <f>SUM(CF32)</f>
        <v>-8789.7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8">
        <f t="shared" si="1"/>
        <v>4138.580000000001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5" customHeight="1">
      <c r="A33" s="109" t="s">
        <v>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10"/>
      <c r="AN33" s="73" t="s">
        <v>43</v>
      </c>
      <c r="AO33" s="74"/>
      <c r="AP33" s="74"/>
      <c r="AQ33" s="74"/>
      <c r="AR33" s="74"/>
      <c r="AS33" s="74"/>
      <c r="AT33" s="69" t="s">
        <v>43</v>
      </c>
      <c r="AU33" s="70"/>
      <c r="AV33" s="70"/>
      <c r="AW33" s="70"/>
      <c r="AX33" s="70"/>
      <c r="AY33" s="70"/>
      <c r="AZ33" s="70"/>
      <c r="BA33" s="70"/>
      <c r="BB33" s="71"/>
      <c r="BC33" s="18"/>
      <c r="BD33" s="18"/>
      <c r="BE33" s="18"/>
      <c r="BF33" s="18"/>
      <c r="BG33" s="18"/>
      <c r="BH33" s="18"/>
      <c r="BI33" s="18"/>
      <c r="BJ33" s="20" t="s">
        <v>43</v>
      </c>
      <c r="BK33" s="177" t="s">
        <v>43</v>
      </c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9"/>
      <c r="CF33" s="80" t="s">
        <v>43</v>
      </c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 t="s">
        <v>43</v>
      </c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 t="s">
        <v>43</v>
      </c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 t="s">
        <v>43</v>
      </c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 t="s">
        <v>43</v>
      </c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4"/>
    </row>
    <row r="34" spans="1:166" ht="15" customHeight="1">
      <c r="A34" s="109" t="s">
        <v>43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10"/>
      <c r="AN34" s="73" t="s">
        <v>43</v>
      </c>
      <c r="AO34" s="74"/>
      <c r="AP34" s="74"/>
      <c r="AQ34" s="74"/>
      <c r="AR34" s="74"/>
      <c r="AS34" s="74"/>
      <c r="AT34" s="69" t="s">
        <v>43</v>
      </c>
      <c r="AU34" s="70"/>
      <c r="AV34" s="70"/>
      <c r="AW34" s="70"/>
      <c r="AX34" s="70"/>
      <c r="AY34" s="70"/>
      <c r="AZ34" s="70"/>
      <c r="BA34" s="70"/>
      <c r="BB34" s="71"/>
      <c r="BC34" s="18"/>
      <c r="BD34" s="18"/>
      <c r="BE34" s="18"/>
      <c r="BF34" s="18"/>
      <c r="BG34" s="18"/>
      <c r="BH34" s="18"/>
      <c r="BI34" s="18"/>
      <c r="BJ34" s="20" t="s">
        <v>43</v>
      </c>
      <c r="BK34" s="177" t="s">
        <v>43</v>
      </c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9"/>
      <c r="CF34" s="80" t="s">
        <v>43</v>
      </c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 t="s">
        <v>43</v>
      </c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 t="s">
        <v>43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 t="s">
        <v>43</v>
      </c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 t="s">
        <v>43</v>
      </c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4"/>
    </row>
    <row r="35" spans="1:166" ht="15" customHeight="1">
      <c r="A35" s="109" t="s">
        <v>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0"/>
      <c r="AN35" s="73" t="s">
        <v>43</v>
      </c>
      <c r="AO35" s="74"/>
      <c r="AP35" s="74"/>
      <c r="AQ35" s="74"/>
      <c r="AR35" s="74"/>
      <c r="AS35" s="74"/>
      <c r="AT35" s="69" t="s">
        <v>43</v>
      </c>
      <c r="AU35" s="70"/>
      <c r="AV35" s="70"/>
      <c r="AW35" s="70"/>
      <c r="AX35" s="70"/>
      <c r="AY35" s="70"/>
      <c r="AZ35" s="70"/>
      <c r="BA35" s="70"/>
      <c r="BB35" s="71"/>
      <c r="BC35" s="18"/>
      <c r="BD35" s="18"/>
      <c r="BE35" s="18"/>
      <c r="BF35" s="18"/>
      <c r="BG35" s="18"/>
      <c r="BH35" s="18"/>
      <c r="BI35" s="18"/>
      <c r="BJ35" s="20" t="s">
        <v>43</v>
      </c>
      <c r="BK35" s="177" t="s">
        <v>43</v>
      </c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9"/>
      <c r="CF35" s="80" t="s">
        <v>43</v>
      </c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 t="s">
        <v>43</v>
      </c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 t="s">
        <v>43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 t="s">
        <v>43</v>
      </c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 t="s">
        <v>43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4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102" t="s">
        <v>70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</row>
    <row r="48" spans="1:166" ht="15" customHeight="1">
      <c r="A48" s="103" t="s">
        <v>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11" t="s">
        <v>15</v>
      </c>
      <c r="AL48" s="103"/>
      <c r="AM48" s="103"/>
      <c r="AN48" s="103"/>
      <c r="AO48" s="103"/>
      <c r="AP48" s="104"/>
      <c r="AQ48" s="131" t="s">
        <v>71</v>
      </c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3"/>
      <c r="BC48" s="111" t="s">
        <v>72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4"/>
      <c r="BU48" s="111" t="s">
        <v>73</v>
      </c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4"/>
      <c r="CH48" s="85" t="s">
        <v>16</v>
      </c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7"/>
      <c r="EK48" s="85" t="s">
        <v>74</v>
      </c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ht="69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5"/>
      <c r="AK49" s="100"/>
      <c r="AL49" s="101"/>
      <c r="AM49" s="101"/>
      <c r="AN49" s="101"/>
      <c r="AO49" s="101"/>
      <c r="AP49" s="105"/>
      <c r="AQ49" s="134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/>
      <c r="BC49" s="100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5"/>
      <c r="BU49" s="100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5"/>
      <c r="CH49" s="128" t="s">
        <v>75</v>
      </c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9"/>
      <c r="CX49" s="85" t="s">
        <v>17</v>
      </c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7"/>
      <c r="DK49" s="85" t="s">
        <v>18</v>
      </c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7"/>
      <c r="DX49" s="85" t="s">
        <v>19</v>
      </c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7"/>
      <c r="EK49" s="100" t="s">
        <v>76</v>
      </c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5"/>
      <c r="EX49" s="100" t="s">
        <v>77</v>
      </c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</row>
    <row r="50" spans="1:166" ht="15" customHeight="1" thickBot="1">
      <c r="A50" s="182">
        <v>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107">
        <v>2</v>
      </c>
      <c r="AL50" s="108"/>
      <c r="AM50" s="108"/>
      <c r="AN50" s="108"/>
      <c r="AO50" s="108"/>
      <c r="AP50" s="115"/>
      <c r="AQ50" s="107">
        <v>3</v>
      </c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15"/>
      <c r="BC50" s="107">
        <v>4</v>
      </c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15"/>
      <c r="BU50" s="107">
        <v>5</v>
      </c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15"/>
      <c r="CH50" s="107">
        <v>6</v>
      </c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15"/>
      <c r="CX50" s="107">
        <v>7</v>
      </c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15"/>
      <c r="DK50" s="107">
        <v>8</v>
      </c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15"/>
      <c r="DX50" s="107">
        <v>9</v>
      </c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15"/>
      <c r="EK50" s="107">
        <v>10</v>
      </c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7">
        <v>11</v>
      </c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</row>
    <row r="51" spans="1:166" ht="15" customHeight="1" thickBot="1">
      <c r="A51" s="184" t="s">
        <v>78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0" t="s">
        <v>79</v>
      </c>
      <c r="AL51" s="181"/>
      <c r="AM51" s="181"/>
      <c r="AN51" s="181"/>
      <c r="AO51" s="181"/>
      <c r="AP51" s="181"/>
      <c r="AQ51" s="57" t="s">
        <v>33</v>
      </c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>
        <f>SUM(BC53+BC58+BC115+BC57+BC118+BC54+BC55+BC69+BC56+BC68+BC62+BC65+BC66+BC75+BC67+BC78+BC82+BC83+BC87+BC91+BC94+BC97+BC72+BC109+BC124+BC100+BC103+BC106+BC112+BC119+BC120+BC121+BC125+BC129+BC130)</f>
        <v>228517200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f>SUM(BC51)</f>
        <v>228517200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f>SUM(CH53+CH58+CH57+CH62+CH65+CH66+CH75+CH78+CH54+CH69+CH55+CH56+CH109+CH82+CH68+CH67+CH118+CH72+CH124+CH83+CH115+CH87+CH91+CH94+CH97++CH100+CH103+CH106+CH112+CH119+CH120+CH121+CH125+CH129+CH130)</f>
        <v>143424895.19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 t="s">
        <v>43</v>
      </c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 t="s">
        <v>43</v>
      </c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>SUM(CH51)</f>
        <v>143424895.19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>SUM(EK53+EK58+EK62+EK65+EK66+EK75+EK78+EK82+EK69+EK83+EK87+EK91+EK94+EK97+EK72+EK100+EK103+EK106+EK112+EK119+EK120+EK121+EK125+EK109+EK129+EK130)</f>
        <v>0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>SUM(BU51-DX51)</f>
        <v>85092304.81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92"/>
    </row>
    <row r="52" spans="1:166" ht="15" customHeight="1" thickBot="1">
      <c r="A52" s="112" t="s">
        <v>14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3"/>
      <c r="AL52" s="114"/>
      <c r="AM52" s="114"/>
      <c r="AN52" s="114"/>
      <c r="AO52" s="114"/>
      <c r="AP52" s="114"/>
      <c r="AQ52" s="46" t="s">
        <v>33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 t="s">
        <v>43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57" t="s">
        <v>43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46" t="s">
        <v>43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 t="s">
        <v>43</v>
      </c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 t="s">
        <v>43</v>
      </c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57" t="s">
        <v>43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46" t="s">
        <v>43</v>
      </c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57" t="s">
        <v>43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92"/>
    </row>
    <row r="53" spans="1:166" ht="25.5" customHeight="1" thickBot="1">
      <c r="A53" s="53" t="s">
        <v>295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40" t="s">
        <v>106</v>
      </c>
      <c r="AL53" s="41"/>
      <c r="AM53" s="41"/>
      <c r="AN53" s="41"/>
      <c r="AO53" s="41"/>
      <c r="AP53" s="42"/>
      <c r="AQ53" s="44" t="s">
        <v>215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3">
        <v>17200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4">
        <f>SUM(BC53)</f>
        <v>17200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3">
        <f>4445+4354</f>
        <v>8799</v>
      </c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 t="s">
        <v>43</v>
      </c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 t="s">
        <v>43</v>
      </c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4">
        <f>SUM(CH53)</f>
        <v>8799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3">
        <v>0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4">
        <f>SUM(BU53-DX53)</f>
        <v>8401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41.25" customHeight="1" thickBot="1">
      <c r="A54" s="53" t="s">
        <v>294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K54" s="40" t="s">
        <v>80</v>
      </c>
      <c r="AL54" s="41"/>
      <c r="AM54" s="41"/>
      <c r="AN54" s="41"/>
      <c r="AO54" s="41"/>
      <c r="AP54" s="42"/>
      <c r="AQ54" s="44" t="s">
        <v>214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3">
        <v>5600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4">
        <f>SUM(BC54)</f>
        <v>5600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3">
        <v>0</v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 t="s">
        <v>43</v>
      </c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 t="s">
        <v>43</v>
      </c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4">
        <f>SUM(CH54)</f>
        <v>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3">
        <v>0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4">
        <f>SUM(BU54-DX54)</f>
        <v>5600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35.25" customHeight="1" thickBot="1">
      <c r="A55" s="53" t="s">
        <v>294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40" t="s">
        <v>307</v>
      </c>
      <c r="AL55" s="41"/>
      <c r="AM55" s="41"/>
      <c r="AN55" s="41"/>
      <c r="AO55" s="41"/>
      <c r="AP55" s="42"/>
      <c r="AQ55" s="44" t="s">
        <v>216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3">
        <v>3800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4">
        <f>SUM(BC55)</f>
        <v>3800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3">
        <v>0</v>
      </c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 t="s">
        <v>43</v>
      </c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 t="s">
        <v>43</v>
      </c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>
        <f>SUM(CH55)</f>
        <v>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3">
        <v>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4">
        <f>SUM(BU55-DX55)</f>
        <v>3800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43.5" customHeight="1">
      <c r="A56" s="53" t="s">
        <v>294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  <c r="AK56" s="40" t="s">
        <v>113</v>
      </c>
      <c r="AL56" s="41"/>
      <c r="AM56" s="41"/>
      <c r="AN56" s="41"/>
      <c r="AO56" s="41"/>
      <c r="AP56" s="42"/>
      <c r="AQ56" s="44" t="s">
        <v>217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3">
        <v>1800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4">
        <f>SUM(BC56)</f>
        <v>1800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3">
        <v>0</v>
      </c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 t="s">
        <v>43</v>
      </c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 t="s">
        <v>43</v>
      </c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4">
        <f>SUM(CH56)</f>
        <v>0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3">
        <v>0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4">
        <f>SUM(BU56-DX56)</f>
        <v>1800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39" customHeight="1" thickBot="1">
      <c r="A57" s="53" t="s">
        <v>296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40" t="s">
        <v>81</v>
      </c>
      <c r="AL57" s="41"/>
      <c r="AM57" s="41"/>
      <c r="AN57" s="41"/>
      <c r="AO57" s="41"/>
      <c r="AP57" s="42"/>
      <c r="AQ57" s="98" t="s">
        <v>218</v>
      </c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37">
        <f>303100+18685+143400</f>
        <v>465185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>
        <f>SUM(BC57)</f>
        <v>465185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>
        <f>18000+48000+84405.13+119717.38</f>
        <v>270122.51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 t="s">
        <v>43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>
        <f>CH57</f>
        <v>270122.51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>
        <v>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>
        <f>SUM(BU57-DX57)</f>
        <v>195062.49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</row>
    <row r="58" spans="1:166" ht="15" customHeight="1" thickBo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3" t="s">
        <v>107</v>
      </c>
      <c r="AL58" s="114"/>
      <c r="AM58" s="114"/>
      <c r="AN58" s="114"/>
      <c r="AO58" s="114"/>
      <c r="AP58" s="114"/>
      <c r="AQ58" s="43" t="s">
        <v>219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>
        <f>SUM(BC59:BT61)</f>
        <v>6044800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4">
        <f>SUM(BU59:CG61)</f>
        <v>6044800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3">
        <f>SUM(CH59:CW61)</f>
        <v>5750257.640000001</v>
      </c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 t="s">
        <v>43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 t="s">
        <v>43</v>
      </c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>
        <f>SUM(DX59:EJ61)</f>
        <v>5750257.640000001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3">
        <f>SUM(EK59:EW61)</f>
        <v>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4">
        <f>SUM(EX59:FJ61)</f>
        <v>294542.35999999964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40.5" customHeight="1" thickBot="1">
      <c r="A59" s="60" t="s">
        <v>294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40" t="s">
        <v>82</v>
      </c>
      <c r="AL59" s="41"/>
      <c r="AM59" s="41"/>
      <c r="AN59" s="41"/>
      <c r="AO59" s="41"/>
      <c r="AP59" s="42"/>
      <c r="AQ59" s="46" t="s">
        <v>220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f>5300+53-1627</f>
        <v>3726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57">
        <f>SUM(BC59)</f>
        <v>3726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46">
        <f>76.54+112.08+398.24+312.34+1624.16</f>
        <v>2523.36</v>
      </c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 t="s">
        <v>43</v>
      </c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 t="s">
        <v>43</v>
      </c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57">
        <f>SUM(CH59:DW59)</f>
        <v>2523.36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46">
        <v>0</v>
      </c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57">
        <f>SUM(BC59-DX59)</f>
        <v>1202.6399999999999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92"/>
    </row>
    <row r="60" spans="1:166" ht="36" customHeight="1" thickBot="1">
      <c r="A60" s="55" t="s">
        <v>297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40" t="s">
        <v>83</v>
      </c>
      <c r="AL60" s="41"/>
      <c r="AM60" s="41"/>
      <c r="AN60" s="41"/>
      <c r="AO60" s="41"/>
      <c r="AP60" s="42"/>
      <c r="AQ60" s="46" t="s">
        <v>221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88">
        <f>550000+1852-167773</f>
        <v>384079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1">
        <f>SUM(BC60)</f>
        <v>384079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91"/>
      <c r="CH60" s="88">
        <f>7890.4+11554.34+41055.58+32200+167439.06</f>
        <v>260139.38</v>
      </c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90"/>
      <c r="CX60" s="88" t="s">
        <v>43</v>
      </c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90"/>
      <c r="DK60" s="88" t="s">
        <v>43</v>
      </c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90"/>
      <c r="DX60" s="81">
        <f>SUM(CH60:DW60)</f>
        <v>260139.38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91"/>
      <c r="EK60" s="88">
        <v>0</v>
      </c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90"/>
      <c r="EX60" s="81">
        <f>SUM(BC60-DX60)</f>
        <v>123939.62</v>
      </c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3"/>
    </row>
    <row r="61" spans="1:166" ht="36.75" customHeight="1" thickBot="1">
      <c r="A61" s="60" t="s">
        <v>296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40" t="s">
        <v>84</v>
      </c>
      <c r="AL61" s="41"/>
      <c r="AM61" s="41"/>
      <c r="AN61" s="41"/>
      <c r="AO61" s="41"/>
      <c r="AP61" s="42"/>
      <c r="AQ61" s="46" t="s">
        <v>222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f>5489500-1905+169400</f>
        <v>5656995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57">
        <f>SUM(BC61)</f>
        <v>5656995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46">
        <f>825559.86+4265886.24+396148.8</f>
        <v>5487594.9</v>
      </c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 t="s">
        <v>43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 t="s">
        <v>43</v>
      </c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57">
        <f>SUM(CH61:DW61)</f>
        <v>5487594.9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46">
        <v>0</v>
      </c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57">
        <f>SUM(BC61-DX61)</f>
        <v>169400.09999999963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92"/>
    </row>
    <row r="62" spans="1:166" ht="15" customHeight="1" thickBo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40" t="s">
        <v>205</v>
      </c>
      <c r="AL62" s="41"/>
      <c r="AM62" s="41"/>
      <c r="AN62" s="41"/>
      <c r="AO62" s="41"/>
      <c r="AP62" s="42"/>
      <c r="AQ62" s="43" t="s">
        <v>228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>
        <f>SUM(BC63:BT64)</f>
        <v>1219000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4">
        <f>SUM(BU63:CG64)</f>
        <v>1219000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3">
        <f>SUM(CH63:CW64)</f>
        <v>688804.31</v>
      </c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 t="s">
        <v>43</v>
      </c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 t="s">
        <v>43</v>
      </c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4">
        <f>SUM(DX63:EJ64)</f>
        <v>688804.31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3">
        <f>SUM(EK64:EW64)</f>
        <v>0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4">
        <f>SUM(BC62-DX62)</f>
        <v>530195.69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37.5" customHeight="1" thickBot="1">
      <c r="A63" s="60" t="s">
        <v>294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40" t="s">
        <v>85</v>
      </c>
      <c r="AL63" s="41"/>
      <c r="AM63" s="41"/>
      <c r="AN63" s="41"/>
      <c r="AO63" s="41"/>
      <c r="AP63" s="42"/>
      <c r="AQ63" s="46" t="s">
        <v>223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>
        <v>9600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57">
        <f aca="true" t="shared" si="2" ref="BU63:BU77">SUM(BC63)</f>
        <v>9600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46">
        <f>736.57+750.07+750.07+750.07+822.29+794.29+794.29</f>
        <v>5397.650000000001</v>
      </c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 t="s">
        <v>43</v>
      </c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 t="s">
        <v>43</v>
      </c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57">
        <f>SUM(CH63:DW63)</f>
        <v>5397.650000000001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46">
        <v>0</v>
      </c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57">
        <f aca="true" t="shared" si="3" ref="EX63:EX74">SUM(BU63-DX63)</f>
        <v>4202.349999999999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92"/>
    </row>
    <row r="64" spans="1:166" ht="41.25" customHeight="1" thickBot="1">
      <c r="A64" s="55" t="s">
        <v>297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40" t="s">
        <v>86</v>
      </c>
      <c r="AL64" s="41"/>
      <c r="AM64" s="41"/>
      <c r="AN64" s="41"/>
      <c r="AO64" s="41"/>
      <c r="AP64" s="42"/>
      <c r="AQ64" s="46" t="s">
        <v>224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>
        <v>1209400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57">
        <f t="shared" si="2"/>
        <v>1209400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46">
        <f>93469.49+95562.19+95562.19+95562.19+103008.36+100121.12+100121.12</f>
        <v>683406.66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 t="s">
        <v>43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 t="s">
        <v>43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57">
        <f>SUM(CH64:DW64)</f>
        <v>683406.66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46">
        <v>0</v>
      </c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57">
        <f t="shared" si="3"/>
        <v>525993.34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92"/>
    </row>
    <row r="65" spans="1:166" ht="70.5" customHeight="1" thickBot="1">
      <c r="A65" s="53" t="s">
        <v>303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85">
        <v>213</v>
      </c>
      <c r="AL65" s="41"/>
      <c r="AM65" s="41"/>
      <c r="AN65" s="41"/>
      <c r="AO65" s="41"/>
      <c r="AP65" s="42"/>
      <c r="AQ65" s="50" t="s">
        <v>225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/>
      <c r="BC65" s="47">
        <v>955300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9"/>
      <c r="BU65" s="50">
        <f t="shared" si="2"/>
        <v>955300</v>
      </c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2"/>
      <c r="CH65" s="47">
        <f>28594.61+73277.62+107711.25+122533.74+64252.48+58873.64+53357.46</f>
        <v>508600.8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9"/>
      <c r="CX65" s="47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9"/>
      <c r="DK65" s="47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9"/>
      <c r="DX65" s="50">
        <f>SUM(CH65)</f>
        <v>508600.8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2"/>
      <c r="EK65" s="47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9"/>
      <c r="EX65" s="50">
        <f t="shared" si="3"/>
        <v>446699.2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106"/>
    </row>
    <row r="66" spans="1:166" ht="73.5" customHeight="1" thickBot="1">
      <c r="A66" s="53" t="s">
        <v>304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4"/>
      <c r="AK66" s="40" t="s">
        <v>308</v>
      </c>
      <c r="AL66" s="41"/>
      <c r="AM66" s="41"/>
      <c r="AN66" s="41"/>
      <c r="AO66" s="41"/>
      <c r="AP66" s="42"/>
      <c r="AQ66" s="44" t="s">
        <v>306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3">
        <f>39071800+4026500</f>
        <v>43098300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4">
        <f t="shared" si="2"/>
        <v>43098300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3">
        <f>3104300+3140700+3499200+3439500+3172200+5043800+3543200</f>
        <v>24942900</v>
      </c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 t="s">
        <v>43</v>
      </c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 t="s">
        <v>43</v>
      </c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4">
        <f>SUM(CH66)</f>
        <v>24942900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3">
        <v>0</v>
      </c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4">
        <f t="shared" si="3"/>
        <v>18155400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30" customHeight="1" thickBot="1">
      <c r="A67" s="53" t="s">
        <v>302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40" t="s">
        <v>116</v>
      </c>
      <c r="AL67" s="41"/>
      <c r="AM67" s="41"/>
      <c r="AN67" s="41"/>
      <c r="AO67" s="41"/>
      <c r="AP67" s="42"/>
      <c r="AQ67" s="44" t="s">
        <v>226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3">
        <f>3318100-1187400</f>
        <v>2130700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4">
        <f>SUM(BC67)</f>
        <v>2130700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3">
        <v>0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 t="s">
        <v>43</v>
      </c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 t="s">
        <v>43</v>
      </c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4">
        <f>SUM(CH67)</f>
        <v>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3">
        <v>0</v>
      </c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4">
        <f>SUM(BU67-DX67)</f>
        <v>2130700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34.5" customHeight="1">
      <c r="A68" s="53" t="s">
        <v>302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4"/>
      <c r="AK68" s="40" t="s">
        <v>309</v>
      </c>
      <c r="AL68" s="41"/>
      <c r="AM68" s="41"/>
      <c r="AN68" s="41"/>
      <c r="AO68" s="41"/>
      <c r="AP68" s="42"/>
      <c r="AQ68" s="44" t="s">
        <v>227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3">
        <f>174700-62400</f>
        <v>112300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>
        <f>SUM(BC68)</f>
        <v>112300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3">
        <v>0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 t="s">
        <v>43</v>
      </c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 t="s">
        <v>43</v>
      </c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4">
        <f>SUM(CH68)</f>
        <v>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3">
        <v>0</v>
      </c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4">
        <f>SUM(BU68-DX68)</f>
        <v>112300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40" t="s">
        <v>204</v>
      </c>
      <c r="AL69" s="41"/>
      <c r="AM69" s="41"/>
      <c r="AN69" s="41"/>
      <c r="AO69" s="41"/>
      <c r="AP69" s="42"/>
      <c r="AQ69" s="37" t="s">
        <v>229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SUM(BC70:BT71)</f>
        <v>865000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>
        <f>SUM(BC69)</f>
        <v>865000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>
        <f>SUM(CH70:CW71)</f>
        <v>530525.61</v>
      </c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43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 t="s">
        <v>43</v>
      </c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>
        <f aca="true" t="shared" si="4" ref="DX69:DX74">CH69</f>
        <v>530525.61</v>
      </c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>
        <f>SUM(EK70:EW71)</f>
        <v>0</v>
      </c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>
        <f>SUM(BU69-DX69)</f>
        <v>334474.39</v>
      </c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</row>
    <row r="70" spans="1:166" ht="39" customHeight="1">
      <c r="A70" s="60" t="s">
        <v>294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185">
        <v>218</v>
      </c>
      <c r="AL70" s="41"/>
      <c r="AM70" s="41"/>
      <c r="AN70" s="41"/>
      <c r="AO70" s="41"/>
      <c r="AP70" s="42"/>
      <c r="AQ70" s="62" t="s">
        <v>291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>
        <v>8300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f>SUM(BC70)</f>
        <v>8300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f>568.6+568.6+1436.95+645.18+676.75+600.29+600.29</f>
        <v>5096.66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 t="s">
        <v>43</v>
      </c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 t="s">
        <v>43</v>
      </c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4"/>
        <v>5096.66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>SUM(BU70-DX70)</f>
        <v>3203.34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</row>
    <row r="71" spans="1:166" ht="42.75" customHeight="1">
      <c r="A71" s="55" t="s">
        <v>297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40" t="s">
        <v>117</v>
      </c>
      <c r="AL71" s="41"/>
      <c r="AM71" s="41"/>
      <c r="AN71" s="41"/>
      <c r="AO71" s="41"/>
      <c r="AP71" s="42"/>
      <c r="AQ71" s="62" t="s">
        <v>305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>
        <v>856700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f>SUM(BC71)</f>
        <v>856700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f>58618.21+58618.21+148139.49+66513.76+69768.5+61885.39+61885.39</f>
        <v>525428.95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 t="s">
        <v>43</v>
      </c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 t="s">
        <v>43</v>
      </c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4"/>
        <v>525428.95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>SUM(BU71-DX71)</f>
        <v>331271.05000000005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</row>
    <row r="72" spans="1:166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40" t="s">
        <v>310</v>
      </c>
      <c r="AL72" s="41"/>
      <c r="AM72" s="41"/>
      <c r="AN72" s="41"/>
      <c r="AO72" s="41"/>
      <c r="AP72" s="42"/>
      <c r="AQ72" s="37" t="s">
        <v>230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>
        <f>SUM(BC73:BT74)</f>
        <v>1111900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f t="shared" si="2"/>
        <v>1111900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>
        <f>SUM(CH73:CW74)</f>
        <v>1111878.61</v>
      </c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43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 t="s">
        <v>43</v>
      </c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>
        <f t="shared" si="4"/>
        <v>1111878.61</v>
      </c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>
        <f>SUM(EK73:EW74)</f>
        <v>0</v>
      </c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>
        <f t="shared" si="3"/>
        <v>21.389999999897555</v>
      </c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</row>
    <row r="73" spans="1:166" ht="37.5" customHeight="1">
      <c r="A73" s="60" t="s">
        <v>294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40" t="s">
        <v>118</v>
      </c>
      <c r="AL73" s="41"/>
      <c r="AM73" s="41"/>
      <c r="AN73" s="41"/>
      <c r="AO73" s="41"/>
      <c r="AP73" s="42"/>
      <c r="AQ73" s="62" t="s">
        <v>231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>
        <v>10700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f t="shared" si="2"/>
        <v>10700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f>8161.23+2280.34+240.04</f>
        <v>10681.61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 t="s">
        <v>43</v>
      </c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 t="s">
        <v>43</v>
      </c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4"/>
        <v>10681.61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3"/>
        <v>18.389999999999418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</row>
    <row r="74" spans="1:166" ht="36" customHeight="1">
      <c r="A74" s="55" t="s">
        <v>297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40" t="s">
        <v>119</v>
      </c>
      <c r="AL74" s="41"/>
      <c r="AM74" s="41"/>
      <c r="AN74" s="41"/>
      <c r="AO74" s="41"/>
      <c r="AP74" s="42"/>
      <c r="AQ74" s="62" t="s">
        <v>232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>
        <v>1101200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f t="shared" si="2"/>
        <v>1101200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f>841364+235087+24746</f>
        <v>1101197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 t="s">
        <v>43</v>
      </c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 t="s">
        <v>43</v>
      </c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4"/>
        <v>1101197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3"/>
        <v>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</row>
    <row r="75" spans="1:166" ht="1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40" t="s">
        <v>114</v>
      </c>
      <c r="AL75" s="41"/>
      <c r="AM75" s="41"/>
      <c r="AN75" s="41"/>
      <c r="AO75" s="41"/>
      <c r="AP75" s="42"/>
      <c r="AQ75" s="37" t="s">
        <v>235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f>SUM(BC76:BT77)</f>
        <v>14551200</v>
      </c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>
        <f t="shared" si="2"/>
        <v>14551200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>
        <f>SUM(CH76:CW77)</f>
        <v>13669234.35</v>
      </c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43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 t="s">
        <v>43</v>
      </c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>
        <f aca="true" t="shared" si="5" ref="DX75:DX81">CH75</f>
        <v>13669234.35</v>
      </c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>
        <f>SUM(EK76:EW77)</f>
        <v>0</v>
      </c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>
        <f>BU75-DX75</f>
        <v>881965.6500000004</v>
      </c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</row>
    <row r="76" spans="1:166" ht="34.5" customHeight="1">
      <c r="A76" s="60" t="s">
        <v>294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0" t="s">
        <v>121</v>
      </c>
      <c r="AL76" s="41"/>
      <c r="AM76" s="41"/>
      <c r="AN76" s="41"/>
      <c r="AO76" s="41"/>
      <c r="AP76" s="42"/>
      <c r="AQ76" s="62" t="s">
        <v>233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>
        <f>185000-21700</f>
        <v>163300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f t="shared" si="2"/>
        <v>163300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9">
        <f>39292.47+29781.25+22215.7+22344.46+21934.39</f>
        <v>135568.27000000002</v>
      </c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62" t="s">
        <v>43</v>
      </c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 t="s">
        <v>43</v>
      </c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5"/>
        <v>135568.27000000002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>BC76-DX76</f>
        <v>27731.72999999998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</row>
    <row r="77" spans="1:166" ht="38.25" customHeight="1">
      <c r="A77" s="55" t="s">
        <v>297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40" t="s">
        <v>87</v>
      </c>
      <c r="AL77" s="41"/>
      <c r="AM77" s="41"/>
      <c r="AN77" s="41"/>
      <c r="AO77" s="41"/>
      <c r="AP77" s="42"/>
      <c r="AQ77" s="62" t="s">
        <v>234</v>
      </c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>
        <f>12421300+1966600</f>
        <v>14387900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f t="shared" si="2"/>
        <v>14387900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99">
        <f>4692841.88+1774564.81+1788193.96+1752885.52+1779379.92+1745799.99</f>
        <v>13533666.08</v>
      </c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62" t="s">
        <v>43</v>
      </c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 t="s">
        <v>43</v>
      </c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5"/>
        <v>13533666.08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>BC77-DX77</f>
        <v>854233.9199999999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</row>
    <row r="78" spans="1:166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40" t="s">
        <v>170</v>
      </c>
      <c r="AL78" s="41"/>
      <c r="AM78" s="41"/>
      <c r="AN78" s="41"/>
      <c r="AO78" s="41"/>
      <c r="AP78" s="42"/>
      <c r="AQ78" s="37" t="s">
        <v>236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>
        <f>SUM(BC79:BT81)</f>
        <v>22451200</v>
      </c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>
        <f>SUM(BU79:CG81)</f>
        <v>22451200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>
        <f>SUM(CH79:CW81)</f>
        <v>11738773.239999998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43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 t="s">
        <v>43</v>
      </c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>
        <f t="shared" si="5"/>
        <v>11738773.239999998</v>
      </c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>
        <f>SUM(EK79:EW81)</f>
        <v>0</v>
      </c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>
        <f aca="true" t="shared" si="6" ref="EX78:EX125">SUM(BU78-DX78)</f>
        <v>10712426.760000002</v>
      </c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</row>
    <row r="79" spans="1:166" ht="32.25" customHeight="1">
      <c r="A79" s="60" t="s">
        <v>294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40" t="s">
        <v>311</v>
      </c>
      <c r="AL79" s="41"/>
      <c r="AM79" s="41"/>
      <c r="AN79" s="41"/>
      <c r="AO79" s="41"/>
      <c r="AP79" s="42"/>
      <c r="AQ79" s="62" t="s">
        <v>237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>
        <v>209800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f>SUM(BC79)</f>
        <v>209800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99">
        <f>27293.74+24222+16857.13+16628.65+16555.67+16871.18</f>
        <v>118428.37000000002</v>
      </c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62" t="s">
        <v>43</v>
      </c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 t="s">
        <v>43</v>
      </c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118428.37000000002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6"/>
        <v>91371.62999999998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</row>
    <row r="80" spans="1:166" ht="39.75" customHeight="1">
      <c r="A80" s="55" t="s">
        <v>297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40" t="s">
        <v>88</v>
      </c>
      <c r="AL80" s="41"/>
      <c r="AM80" s="41"/>
      <c r="AN80" s="41"/>
      <c r="AO80" s="41"/>
      <c r="AP80" s="42"/>
      <c r="AQ80" s="62" t="s">
        <v>238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>
        <v>17841400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f>SUM(BC80)</f>
        <v>17841400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99">
        <f>1374495+1412961.13+1409854.6+1348057.4+1320131.77+1341189.03+1328704.5</f>
        <v>9535393.43</v>
      </c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62" t="s">
        <v>43</v>
      </c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 t="s">
        <v>43</v>
      </c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9535393.43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6"/>
        <v>8306006.57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</row>
    <row r="81" spans="1:166" ht="43.5" customHeight="1">
      <c r="A81" s="60" t="s">
        <v>296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40" t="s">
        <v>115</v>
      </c>
      <c r="AL81" s="41"/>
      <c r="AM81" s="41"/>
      <c r="AN81" s="41"/>
      <c r="AO81" s="41"/>
      <c r="AP81" s="42"/>
      <c r="AQ81" s="62" t="s">
        <v>239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>
        <v>4400000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f>SUM(BC81)</f>
        <v>4400000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99">
        <f>327805+360101.54+361216.3+352090.47+310580+373158.13</f>
        <v>2084951.44</v>
      </c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62" t="s">
        <v>43</v>
      </c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 t="s">
        <v>43</v>
      </c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2084951.44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6"/>
        <v>2315048.56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</row>
    <row r="82" spans="1:166" ht="34.5" customHeight="1">
      <c r="A82" s="53" t="s">
        <v>296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4"/>
      <c r="AK82" s="40" t="s">
        <v>89</v>
      </c>
      <c r="AL82" s="41"/>
      <c r="AM82" s="41"/>
      <c r="AN82" s="41"/>
      <c r="AO82" s="41"/>
      <c r="AP82" s="42"/>
      <c r="AQ82" s="37" t="s">
        <v>240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>
        <f>758100-57200</f>
        <v>700900</v>
      </c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>
        <f>SUM(BC82)</f>
        <v>700900</v>
      </c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>
        <f>11123.51+28788.63+33150.28+39774.11+35526.07+4012.05+5829.86</f>
        <v>158204.50999999998</v>
      </c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43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 t="s">
        <v>43</v>
      </c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>
        <f aca="true" t="shared" si="7" ref="DX82:DX90">CH82</f>
        <v>158204.50999999998</v>
      </c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>
        <v>0</v>
      </c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>
        <f t="shared" si="6"/>
        <v>542695.49</v>
      </c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</row>
    <row r="83" spans="1:166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40" t="s">
        <v>312</v>
      </c>
      <c r="AL83" s="41"/>
      <c r="AM83" s="41"/>
      <c r="AN83" s="41"/>
      <c r="AO83" s="41"/>
      <c r="AP83" s="42"/>
      <c r="AQ83" s="37" t="s">
        <v>241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f>SUM(BC84:BT86)</f>
        <v>337300</v>
      </c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f>SUM(BU84:CG86)</f>
        <v>337300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>
        <f>SUM(CH84:CW86)</f>
        <v>159727.96000000002</v>
      </c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43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 t="s">
        <v>43</v>
      </c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>
        <f t="shared" si="7"/>
        <v>159727.96000000002</v>
      </c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>
        <f>SUM(EK84:EW86)</f>
        <v>0</v>
      </c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>
        <f t="shared" si="6"/>
        <v>177572.03999999998</v>
      </c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</row>
    <row r="84" spans="1:166" ht="37.5" customHeight="1">
      <c r="A84" s="60" t="s">
        <v>294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40" t="s">
        <v>90</v>
      </c>
      <c r="AL84" s="41"/>
      <c r="AM84" s="41"/>
      <c r="AN84" s="41"/>
      <c r="AO84" s="41"/>
      <c r="AP84" s="42"/>
      <c r="AQ84" s="62" t="s">
        <v>242</v>
      </c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>
        <v>4700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f>SUM(BC84)</f>
        <v>4700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f>309.56+151.58+422.78+219.32+219.15+219.31+207.67</f>
        <v>1749.3700000000001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 t="s">
        <v>43</v>
      </c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 t="s">
        <v>43</v>
      </c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7"/>
        <v>1749.3700000000001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6"/>
        <v>2950.63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</row>
    <row r="85" spans="1:166" ht="39" customHeight="1">
      <c r="A85" s="55" t="s">
        <v>297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40" t="s">
        <v>91</v>
      </c>
      <c r="AL85" s="41"/>
      <c r="AM85" s="41"/>
      <c r="AN85" s="41"/>
      <c r="AO85" s="41"/>
      <c r="AP85" s="42"/>
      <c r="AQ85" s="62" t="s">
        <v>243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>
        <v>298600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f>SUM(BC85)</f>
        <v>298600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f>36414.33+23688.42+20623.79+17196.12+17210.04+17210.04+16009.68</f>
        <v>148352.42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 t="s">
        <v>43</v>
      </c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 t="s">
        <v>43</v>
      </c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7"/>
        <v>148352.42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6"/>
        <v>150247.58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</row>
    <row r="86" spans="1:166" ht="39" customHeight="1">
      <c r="A86" s="60" t="s">
        <v>296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0" t="s">
        <v>92</v>
      </c>
      <c r="AL86" s="41"/>
      <c r="AM86" s="41"/>
      <c r="AN86" s="41"/>
      <c r="AO86" s="41"/>
      <c r="AP86" s="42"/>
      <c r="AQ86" s="62" t="s">
        <v>244</v>
      </c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>
        <v>34000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f>SUM(BC86)</f>
        <v>34000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f>1330.67+1060+1300.6+2134.75+1060+1415.15+1325</f>
        <v>9626.17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 t="s">
        <v>43</v>
      </c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 t="s">
        <v>43</v>
      </c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7"/>
        <v>9626.17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6"/>
        <v>24373.83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</row>
    <row r="87" spans="1:166" ht="1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40" t="s">
        <v>93</v>
      </c>
      <c r="AL87" s="41"/>
      <c r="AM87" s="41"/>
      <c r="AN87" s="41"/>
      <c r="AO87" s="41"/>
      <c r="AP87" s="42"/>
      <c r="AQ87" s="37" t="s">
        <v>245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>
        <f>SUM(BC88:BT90)</f>
        <v>8265400</v>
      </c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>
        <f>SUM(BU88:CG90)</f>
        <v>8265400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>
        <f>SUM(CH88:CW90)</f>
        <v>4767436.14</v>
      </c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43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 t="s">
        <v>43</v>
      </c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>
        <f t="shared" si="7"/>
        <v>4767436.14</v>
      </c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>
        <f>SUM(EK88:EW90)</f>
        <v>0</v>
      </c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>
        <f t="shared" si="6"/>
        <v>3497963.8600000003</v>
      </c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</row>
    <row r="88" spans="1:166" ht="35.25" customHeight="1">
      <c r="A88" s="60" t="s">
        <v>294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0" t="s">
        <v>94</v>
      </c>
      <c r="AL88" s="41"/>
      <c r="AM88" s="41"/>
      <c r="AN88" s="41"/>
      <c r="AO88" s="41"/>
      <c r="AP88" s="42"/>
      <c r="AQ88" s="62" t="s">
        <v>246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>
        <v>81000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f aca="true" t="shared" si="8" ref="BU88:BU130">SUM(BC88)</f>
        <v>81000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99">
        <f>4554.98+4925.59+10278.93+6472.74+6475.73+6359.37+6525.14</f>
        <v>45592.479999999996</v>
      </c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62" t="s">
        <v>43</v>
      </c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 t="s">
        <v>43</v>
      </c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7"/>
        <v>45592.479999999996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6"/>
        <v>35407.520000000004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</row>
    <row r="89" spans="1:166" ht="39.75" customHeight="1">
      <c r="A89" s="55" t="s">
        <v>297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40" t="s">
        <v>313</v>
      </c>
      <c r="AL89" s="41"/>
      <c r="AM89" s="41"/>
      <c r="AN89" s="41"/>
      <c r="AO89" s="41"/>
      <c r="AP89" s="42"/>
      <c r="AQ89" s="62" t="s">
        <v>247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>
        <v>6084400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f t="shared" si="8"/>
        <v>6084400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99">
        <f>518272.76+108305.46+1047320.17+506298.39+497759.13+510372.55+511236.65</f>
        <v>3699565.11</v>
      </c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62" t="s">
        <v>43</v>
      </c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 t="s">
        <v>43</v>
      </c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7"/>
        <v>3699565.11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6"/>
        <v>2384834.89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</row>
    <row r="90" spans="1:166" ht="34.5" customHeight="1">
      <c r="A90" s="60" t="s">
        <v>296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0" t="s">
        <v>95</v>
      </c>
      <c r="AL90" s="41"/>
      <c r="AM90" s="41"/>
      <c r="AN90" s="41"/>
      <c r="AO90" s="41"/>
      <c r="AP90" s="42"/>
      <c r="AQ90" s="62" t="s">
        <v>248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>
        <v>2100000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f t="shared" si="8"/>
        <v>2100000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99">
        <f>15337.42+148400+183822.4+148400+161720.43+168275+196323.3</f>
        <v>1022278.55</v>
      </c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62" t="s">
        <v>43</v>
      </c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 t="s">
        <v>43</v>
      </c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7"/>
        <v>1022278.55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6"/>
        <v>1077721.45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</row>
    <row r="91" spans="1:166" ht="1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40" t="s">
        <v>96</v>
      </c>
      <c r="AL91" s="41"/>
      <c r="AM91" s="41"/>
      <c r="AN91" s="41"/>
      <c r="AO91" s="41"/>
      <c r="AP91" s="42"/>
      <c r="AQ91" s="37" t="s">
        <v>249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>
        <f>SUM(BC92:BT93)</f>
        <v>44438800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>
        <f t="shared" si="8"/>
        <v>44438800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>
        <f>SUM(CH92:CW93)</f>
        <v>29147692.41</v>
      </c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43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 t="s">
        <v>43</v>
      </c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>
        <f aca="true" t="shared" si="9" ref="DX91:DX96">CH91</f>
        <v>29147692.41</v>
      </c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>
        <f>SUM(EK92:EW93)</f>
        <v>0</v>
      </c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>
        <f t="shared" si="6"/>
        <v>15291107.59</v>
      </c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</row>
    <row r="92" spans="1:166" ht="33" customHeight="1">
      <c r="A92" s="60" t="s">
        <v>294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0" t="s">
        <v>97</v>
      </c>
      <c r="AL92" s="41"/>
      <c r="AM92" s="41"/>
      <c r="AN92" s="41"/>
      <c r="AO92" s="41"/>
      <c r="AP92" s="42"/>
      <c r="AQ92" s="62" t="s">
        <v>250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>
        <v>443000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f t="shared" si="8"/>
        <v>443000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f>44016.19+96540.7+41559.36+37722.11+37105.38+33945.44</f>
        <v>290889.18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 t="s">
        <v>43</v>
      </c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 t="s">
        <v>43</v>
      </c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9"/>
        <v>290889.18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6"/>
        <v>152110.82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</row>
    <row r="93" spans="1:166" ht="39" customHeight="1">
      <c r="A93" s="55" t="s">
        <v>297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40" t="s">
        <v>171</v>
      </c>
      <c r="AL93" s="41"/>
      <c r="AM93" s="41"/>
      <c r="AN93" s="41"/>
      <c r="AO93" s="41"/>
      <c r="AP93" s="42"/>
      <c r="AQ93" s="62" t="s">
        <v>251</v>
      </c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>
        <v>43995800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f t="shared" si="8"/>
        <v>43995800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f>4055983.81+9731597.65+4010738.34+3739756.16+3688166.8+3630560.47</f>
        <v>28856803.23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 t="s">
        <v>43</v>
      </c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 t="s">
        <v>43</v>
      </c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9"/>
        <v>28856803.23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15138996.77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</row>
    <row r="94" spans="1:166" ht="1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40" t="s">
        <v>314</v>
      </c>
      <c r="AL94" s="41"/>
      <c r="AM94" s="41"/>
      <c r="AN94" s="41"/>
      <c r="AO94" s="41"/>
      <c r="AP94" s="42"/>
      <c r="AQ94" s="37" t="s">
        <v>252</v>
      </c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>
        <f>SUM(BC95:BT96)</f>
        <v>7961200</v>
      </c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>
        <f t="shared" si="8"/>
        <v>7961200</v>
      </c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>
        <f>SUM(CH95:CW96)</f>
        <v>7160012.260000001</v>
      </c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43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 t="s">
        <v>43</v>
      </c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>
        <f t="shared" si="9"/>
        <v>7160012.260000001</v>
      </c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>
        <f>SUM(EK95:EW96)</f>
        <v>0</v>
      </c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>
        <f t="shared" si="6"/>
        <v>801187.7399999993</v>
      </c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66" ht="35.25" customHeight="1">
      <c r="A95" s="60" t="s">
        <v>294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40" t="s">
        <v>98</v>
      </c>
      <c r="AL95" s="41"/>
      <c r="AM95" s="41"/>
      <c r="AN95" s="41"/>
      <c r="AO95" s="41"/>
      <c r="AP95" s="42"/>
      <c r="AQ95" s="62" t="s">
        <v>253</v>
      </c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>
        <f>85000-3700+8800</f>
        <v>90100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f t="shared" si="8"/>
        <v>90100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f>17013.31+37566.34+14876.9+6121.39+4121.42+2761.8</f>
        <v>82461.15999999999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 t="s">
        <v>43</v>
      </c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 t="s">
        <v>43</v>
      </c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9"/>
        <v>82461.15999999999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7638.840000000011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</row>
    <row r="96" spans="1:166" ht="38.25" customHeight="1">
      <c r="A96" s="55" t="s">
        <v>297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6"/>
      <c r="AK96" s="40" t="s">
        <v>99</v>
      </c>
      <c r="AL96" s="41"/>
      <c r="AM96" s="41"/>
      <c r="AN96" s="41"/>
      <c r="AO96" s="41"/>
      <c r="AP96" s="42"/>
      <c r="AQ96" s="62" t="s">
        <v>254</v>
      </c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>
        <f>7975900-96000-8800</f>
        <v>7871100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f t="shared" si="8"/>
        <v>7871100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f>1618130.02+3366543.03+1128761.14+410362.65+352142.48+201611.78</f>
        <v>7077551.100000001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 t="s">
        <v>43</v>
      </c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 t="s">
        <v>43</v>
      </c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9"/>
        <v>7077551.100000001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793548.8999999994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</row>
    <row r="97" spans="1:166" ht="1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40" t="s">
        <v>100</v>
      </c>
      <c r="AL97" s="41"/>
      <c r="AM97" s="41"/>
      <c r="AN97" s="41"/>
      <c r="AO97" s="41"/>
      <c r="AP97" s="42"/>
      <c r="AQ97" s="37" t="s">
        <v>255</v>
      </c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f>SUM(BC98:BT99)</f>
        <v>342900</v>
      </c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f t="shared" si="8"/>
        <v>342900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f>SUM(CH98:CW99)</f>
        <v>138540.22</v>
      </c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43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 t="s">
        <v>43</v>
      </c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>
        <f aca="true" t="shared" si="10" ref="DX97:DX102">CH97</f>
        <v>138540.22</v>
      </c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>
        <f>SUM(EK98:EW99)</f>
        <v>0</v>
      </c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>
        <f t="shared" si="6"/>
        <v>204359.78</v>
      </c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</row>
    <row r="98" spans="1:166" ht="38.25" customHeight="1">
      <c r="A98" s="60" t="s">
        <v>294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40" t="s">
        <v>101</v>
      </c>
      <c r="AL98" s="41"/>
      <c r="AM98" s="41"/>
      <c r="AN98" s="41"/>
      <c r="AO98" s="41"/>
      <c r="AP98" s="42"/>
      <c r="AQ98" s="62" t="s">
        <v>256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>
        <v>3300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f t="shared" si="8"/>
        <v>3300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f>153.57+153.57+307.14+51.19+153.57+153.57+358.33</f>
        <v>1330.9399999999998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 t="s">
        <v>43</v>
      </c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 t="s">
        <v>43</v>
      </c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10"/>
        <v>1330.9399999999998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1969.0600000000002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</row>
    <row r="99" spans="1:166" ht="46.5" customHeight="1">
      <c r="A99" s="55" t="s">
        <v>297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40" t="s">
        <v>315</v>
      </c>
      <c r="AL99" s="41"/>
      <c r="AM99" s="41"/>
      <c r="AN99" s="41"/>
      <c r="AO99" s="41"/>
      <c r="AP99" s="42"/>
      <c r="AQ99" s="62" t="s">
        <v>257</v>
      </c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>
        <v>339600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f t="shared" si="8"/>
        <v>339600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f>15831.84+15831.84+36940.96+15831.84+15831.84+36940.96</f>
        <v>137209.28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 t="s">
        <v>43</v>
      </c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 t="s">
        <v>43</v>
      </c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10"/>
        <v>137209.28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202390.72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</row>
    <row r="100" spans="1:166" ht="1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40" t="s">
        <v>102</v>
      </c>
      <c r="AL100" s="41"/>
      <c r="AM100" s="41"/>
      <c r="AN100" s="41"/>
      <c r="AO100" s="41"/>
      <c r="AP100" s="42"/>
      <c r="AQ100" s="37" t="s">
        <v>258</v>
      </c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>
        <f>SUM(BC101:BT102)</f>
        <v>6111600</v>
      </c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>
        <f t="shared" si="8"/>
        <v>6111600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>
        <f>SUM(CH101:CW102)</f>
        <v>2636520.73</v>
      </c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43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 t="s">
        <v>43</v>
      </c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>
        <f t="shared" si="10"/>
        <v>2636520.73</v>
      </c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>
        <f>SUM(EK101:EW102)</f>
        <v>0</v>
      </c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>
        <f t="shared" si="6"/>
        <v>3475079.27</v>
      </c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</row>
    <row r="101" spans="1:166" ht="33" customHeight="1">
      <c r="A101" s="60" t="s">
        <v>294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40" t="s">
        <v>316</v>
      </c>
      <c r="AL101" s="41"/>
      <c r="AM101" s="41"/>
      <c r="AN101" s="41"/>
      <c r="AO101" s="41"/>
      <c r="AP101" s="42"/>
      <c r="AQ101" s="62" t="s">
        <v>259</v>
      </c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>
        <v>58700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f t="shared" si="8"/>
        <v>58700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f>38.68+6136.87+5955.74+3549.11+3363.99+2981.7+3302.49</f>
        <v>25328.58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 t="s">
        <v>43</v>
      </c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 t="s">
        <v>43</v>
      </c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10"/>
        <v>25328.58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33371.42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</row>
    <row r="102" spans="1:166" ht="34.5" customHeight="1">
      <c r="A102" s="55" t="s">
        <v>297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40" t="s">
        <v>172</v>
      </c>
      <c r="AL102" s="41"/>
      <c r="AM102" s="41"/>
      <c r="AN102" s="41"/>
      <c r="AO102" s="41"/>
      <c r="AP102" s="42"/>
      <c r="AQ102" s="62" t="s">
        <v>260</v>
      </c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>
        <v>6052900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f t="shared" si="8"/>
        <v>6052900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f>415461.32+380696.67+454489.49+365887.33+346802.52+360417.42+287437.4</f>
        <v>2611192.15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 t="s">
        <v>43</v>
      </c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 t="s">
        <v>43</v>
      </c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10"/>
        <v>2611192.15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3441707.85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</row>
    <row r="103" spans="1:166" ht="1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4"/>
      <c r="AK103" s="40" t="s">
        <v>103</v>
      </c>
      <c r="AL103" s="41"/>
      <c r="AM103" s="41"/>
      <c r="AN103" s="41"/>
      <c r="AO103" s="41"/>
      <c r="AP103" s="42"/>
      <c r="AQ103" s="37" t="s">
        <v>261</v>
      </c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>
        <f>SUM(BC104:BT105)</f>
        <v>3939600</v>
      </c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>
        <f t="shared" si="8"/>
        <v>3939600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>
        <f>SUM(CH104:CW105)</f>
        <v>2513360.39</v>
      </c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 t="s">
        <v>43</v>
      </c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 t="s">
        <v>43</v>
      </c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>
        <f aca="true" t="shared" si="11" ref="DX103:DX108">CH103</f>
        <v>2513360.39</v>
      </c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>
        <f>SUM(EK104:EW105)</f>
        <v>0</v>
      </c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>
        <f t="shared" si="6"/>
        <v>1426239.6099999999</v>
      </c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</row>
    <row r="104" spans="1:166" ht="33.75" customHeight="1">
      <c r="A104" s="60" t="s">
        <v>294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40" t="s">
        <v>173</v>
      </c>
      <c r="AL104" s="41"/>
      <c r="AM104" s="41"/>
      <c r="AN104" s="41"/>
      <c r="AO104" s="41"/>
      <c r="AP104" s="42"/>
      <c r="AQ104" s="62" t="s">
        <v>262</v>
      </c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>
        <v>37800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f t="shared" si="8"/>
        <v>37800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f>3999.31+3379+3334.96+3425.17+3532.01+3382+3092.94</f>
        <v>24145.39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 t="s">
        <v>43</v>
      </c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 t="s">
        <v>43</v>
      </c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11"/>
        <v>24145.39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13654.61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</row>
    <row r="105" spans="1:166" ht="39" customHeight="1">
      <c r="A105" s="55" t="s">
        <v>297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40" t="s">
        <v>122</v>
      </c>
      <c r="AL105" s="41"/>
      <c r="AM105" s="41"/>
      <c r="AN105" s="41"/>
      <c r="AO105" s="41"/>
      <c r="AP105" s="42"/>
      <c r="AQ105" s="62" t="s">
        <v>263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>
        <v>3901800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f t="shared" si="8"/>
        <v>3901800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f>412300+348350+343810+353110+364125+348660+318860</f>
        <v>2489215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 t="s">
        <v>43</v>
      </c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 t="s">
        <v>43</v>
      </c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11"/>
        <v>2489215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1412585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</row>
    <row r="106" spans="1:166" ht="1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4"/>
      <c r="AK106" s="40" t="s">
        <v>174</v>
      </c>
      <c r="AL106" s="41"/>
      <c r="AM106" s="41"/>
      <c r="AN106" s="41"/>
      <c r="AO106" s="41"/>
      <c r="AP106" s="42"/>
      <c r="AQ106" s="37" t="s">
        <v>264</v>
      </c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>
        <f>SUM(BC107:BT108)</f>
        <v>16302700</v>
      </c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>
        <f t="shared" si="8"/>
        <v>16302700</v>
      </c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>
        <f>SUM(CH107:CW108)</f>
        <v>10112030.16</v>
      </c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 t="s">
        <v>43</v>
      </c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 t="s">
        <v>43</v>
      </c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>
        <f t="shared" si="11"/>
        <v>10112030.16</v>
      </c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>
        <f>SUM(EK107:EW108)</f>
        <v>0</v>
      </c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>
        <f t="shared" si="6"/>
        <v>6190669.84</v>
      </c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</row>
    <row r="107" spans="1:166" ht="41.25" customHeight="1">
      <c r="A107" s="60" t="s">
        <v>294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40" t="s">
        <v>175</v>
      </c>
      <c r="AL107" s="41"/>
      <c r="AM107" s="41"/>
      <c r="AN107" s="41"/>
      <c r="AO107" s="41"/>
      <c r="AP107" s="42"/>
      <c r="AQ107" s="62" t="s">
        <v>265</v>
      </c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>
        <v>23000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f t="shared" si="8"/>
        <v>23000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f>1807.44+1560.77+1828.17+1648.87+1508.12+1221.51+1599.08</f>
        <v>11173.96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 t="s">
        <v>43</v>
      </c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 t="s">
        <v>43</v>
      </c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11"/>
        <v>11173.96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11826.04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</row>
    <row r="108" spans="1:166" ht="42" customHeight="1">
      <c r="A108" s="55" t="s">
        <v>297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40" t="s">
        <v>123</v>
      </c>
      <c r="AL108" s="41"/>
      <c r="AM108" s="41"/>
      <c r="AN108" s="41"/>
      <c r="AO108" s="41"/>
      <c r="AP108" s="42"/>
      <c r="AQ108" s="62" t="s">
        <v>266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>
        <v>16279700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f t="shared" si="8"/>
        <v>16279700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f>1634770.8+1379616.8+1466668.8+1339355.8+1401326+1414881+1464237</f>
        <v>10100856.2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 t="s">
        <v>43</v>
      </c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 t="s">
        <v>43</v>
      </c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11"/>
        <v>10100856.2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6178843.800000001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</row>
    <row r="109" spans="1:166" ht="1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4"/>
      <c r="AK109" s="40" t="s">
        <v>176</v>
      </c>
      <c r="AL109" s="41"/>
      <c r="AM109" s="41"/>
      <c r="AN109" s="41"/>
      <c r="AO109" s="41"/>
      <c r="AP109" s="42"/>
      <c r="AQ109" s="37" t="s">
        <v>267</v>
      </c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>
        <f>SUM(BC110:BT111)</f>
        <v>1901200</v>
      </c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>
        <f>SUM(BC109)</f>
        <v>1901200</v>
      </c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>
        <f>SUM(CH110:CW111)</f>
        <v>1544508.56</v>
      </c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 t="s">
        <v>43</v>
      </c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 t="s">
        <v>43</v>
      </c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>
        <f>CH109</f>
        <v>1544508.56</v>
      </c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>
        <f>SUM(EK110:EW111)</f>
        <v>0</v>
      </c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>
        <f>SUM(BU109-DX109)</f>
        <v>356691.43999999994</v>
      </c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</row>
    <row r="110" spans="1:166" ht="32.25" customHeight="1">
      <c r="A110" s="60" t="s">
        <v>294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40" t="s">
        <v>177</v>
      </c>
      <c r="AL110" s="41"/>
      <c r="AM110" s="41"/>
      <c r="AN110" s="41"/>
      <c r="AO110" s="41"/>
      <c r="AP110" s="42"/>
      <c r="AQ110" s="62" t="s">
        <v>268</v>
      </c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>
        <f>17500-364</f>
        <v>17136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f>SUM(BC110)</f>
        <v>17136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f>5711.07+1142.21+3426.64+1142.21+2284.43</f>
        <v>13706.560000000001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 t="s">
        <v>43</v>
      </c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 t="s">
        <v>43</v>
      </c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>CH110</f>
        <v>13706.560000000001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>SUM(BU110-DX110)</f>
        <v>3429.4399999999987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</row>
    <row r="111" spans="1:166" ht="36.75" customHeight="1">
      <c r="A111" s="55" t="s">
        <v>297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40" t="s">
        <v>178</v>
      </c>
      <c r="AL111" s="41"/>
      <c r="AM111" s="41"/>
      <c r="AN111" s="41"/>
      <c r="AO111" s="41"/>
      <c r="AP111" s="42"/>
      <c r="AQ111" s="62" t="s">
        <v>269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>
        <f>1799300+84764</f>
        <v>1884064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f>SUM(BC111)</f>
        <v>1884064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f>588770+117754+353262+117754+353262</f>
        <v>1530802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 t="s">
        <v>43</v>
      </c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 t="s">
        <v>43</v>
      </c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>CH111</f>
        <v>1530802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>SUM(BU111-DX111)</f>
        <v>353262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</row>
    <row r="112" spans="1:166" ht="1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4"/>
      <c r="AK112" s="40" t="s">
        <v>179</v>
      </c>
      <c r="AL112" s="41"/>
      <c r="AM112" s="41"/>
      <c r="AN112" s="41"/>
      <c r="AO112" s="41"/>
      <c r="AP112" s="42"/>
      <c r="AQ112" s="37" t="s">
        <v>270</v>
      </c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>
        <f>SUM(BC113:BT114)</f>
        <v>32700</v>
      </c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>
        <f t="shared" si="8"/>
        <v>32700</v>
      </c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>
        <f>SUM(CH113:CW114)</f>
        <v>25265.73</v>
      </c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 t="s">
        <v>43</v>
      </c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 t="s">
        <v>43</v>
      </c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>
        <f aca="true" t="shared" si="12" ref="DX112:DX124">CH112</f>
        <v>25265.73</v>
      </c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>
        <f>SUM(EK113:EW114)</f>
        <v>0</v>
      </c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>
        <f t="shared" si="6"/>
        <v>7434.27</v>
      </c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</row>
    <row r="113" spans="1:166" ht="33.75" customHeight="1">
      <c r="A113" s="60" t="s">
        <v>294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40" t="s">
        <v>180</v>
      </c>
      <c r="AL113" s="41"/>
      <c r="AM113" s="41"/>
      <c r="AN113" s="41"/>
      <c r="AO113" s="41"/>
      <c r="AP113" s="42"/>
      <c r="AQ113" s="62" t="s">
        <v>271</v>
      </c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>
        <v>300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f t="shared" si="8"/>
        <v>300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f>31.96+24.87+43.4+36.32+31.33+29.57+45.28</f>
        <v>242.73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 t="s">
        <v>43</v>
      </c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 t="s">
        <v>43</v>
      </c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12"/>
        <v>242.73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57.27000000000001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</row>
    <row r="114" spans="1:166" ht="35.25" customHeight="1">
      <c r="A114" s="55" t="s">
        <v>297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6"/>
      <c r="AK114" s="40" t="s">
        <v>181</v>
      </c>
      <c r="AL114" s="41"/>
      <c r="AM114" s="41"/>
      <c r="AN114" s="41"/>
      <c r="AO114" s="41"/>
      <c r="AP114" s="42"/>
      <c r="AQ114" s="62" t="s">
        <v>273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>
        <v>32400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f t="shared" si="8"/>
        <v>32400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f>3295+2564+4474+3744+3230+3048+4668</f>
        <v>25023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 t="s">
        <v>43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 t="s">
        <v>43</v>
      </c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12"/>
        <v>25023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7377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</row>
    <row r="115" spans="1:166" ht="1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40" t="s">
        <v>182</v>
      </c>
      <c r="AL115" s="41"/>
      <c r="AM115" s="41"/>
      <c r="AN115" s="41"/>
      <c r="AO115" s="41"/>
      <c r="AP115" s="42"/>
      <c r="AQ115" s="37" t="s">
        <v>272</v>
      </c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>
        <f>SUM(BC116:BT117)</f>
        <v>13700</v>
      </c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>
        <f t="shared" si="8"/>
        <v>13700</v>
      </c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>
        <f>SUM(CH116:CW117)</f>
        <v>4972.91</v>
      </c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 t="s">
        <v>43</v>
      </c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 t="s">
        <v>43</v>
      </c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>
        <f t="shared" si="12"/>
        <v>4972.91</v>
      </c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>
        <f>SUM(EK116:EW117)</f>
        <v>0</v>
      </c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>
        <f>BC115-DX115</f>
        <v>8727.09</v>
      </c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</row>
    <row r="116" spans="1:166" ht="37.5" customHeight="1">
      <c r="A116" s="60" t="s">
        <v>294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40" t="s">
        <v>183</v>
      </c>
      <c r="AL116" s="41"/>
      <c r="AM116" s="41"/>
      <c r="AN116" s="41"/>
      <c r="AO116" s="41"/>
      <c r="AP116" s="42"/>
      <c r="AQ116" s="62" t="s">
        <v>274</v>
      </c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>
        <v>100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f t="shared" si="8"/>
        <v>100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f>15.82+31.96</f>
        <v>47.78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 t="s">
        <v>43</v>
      </c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 t="s">
        <v>43</v>
      </c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12"/>
        <v>47.78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>BC116-DX116</f>
        <v>52.22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</row>
    <row r="117" spans="1:166" ht="36" customHeight="1">
      <c r="A117" s="55" t="s">
        <v>297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40" t="s">
        <v>184</v>
      </c>
      <c r="AL117" s="41"/>
      <c r="AM117" s="41"/>
      <c r="AN117" s="41"/>
      <c r="AO117" s="41"/>
      <c r="AP117" s="42"/>
      <c r="AQ117" s="62" t="s">
        <v>275</v>
      </c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>
        <v>13600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f t="shared" si="8"/>
        <v>13600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f>1630.73+3294.4</f>
        <v>4925.13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 t="s">
        <v>43</v>
      </c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 t="s">
        <v>43</v>
      </c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12"/>
        <v>4925.13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>BC117-DX117</f>
        <v>8674.869999999999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</row>
    <row r="118" spans="1:166" ht="36" customHeight="1">
      <c r="A118" s="38" t="s">
        <v>297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9"/>
      <c r="AK118" s="40" t="s">
        <v>185</v>
      </c>
      <c r="AL118" s="41"/>
      <c r="AM118" s="41"/>
      <c r="AN118" s="41"/>
      <c r="AO118" s="41"/>
      <c r="AP118" s="42"/>
      <c r="AQ118" s="37" t="s">
        <v>324</v>
      </c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>
        <v>20000</v>
      </c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>
        <f>SUM(BC118)</f>
        <v>20000</v>
      </c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>
        <v>20000</v>
      </c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 t="s">
        <v>43</v>
      </c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 t="s">
        <v>43</v>
      </c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>
        <f>CH118</f>
        <v>20000</v>
      </c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>
        <v>0</v>
      </c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>
        <f>SUM(BU118-DX118)</f>
        <v>0</v>
      </c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</row>
    <row r="119" spans="1:166" ht="36" customHeight="1">
      <c r="A119" s="38" t="s">
        <v>297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40" t="s">
        <v>186</v>
      </c>
      <c r="AL119" s="41"/>
      <c r="AM119" s="41"/>
      <c r="AN119" s="41"/>
      <c r="AO119" s="41"/>
      <c r="AP119" s="42"/>
      <c r="AQ119" s="37" t="s">
        <v>276</v>
      </c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>
        <v>265400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>
        <f t="shared" si="8"/>
        <v>265400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>
        <f>13576.36+9839.48+11217+10528.24+10528.24+10528.24</f>
        <v>66217.56</v>
      </c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43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 t="s">
        <v>43</v>
      </c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>
        <f t="shared" si="12"/>
        <v>66217.56</v>
      </c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>
        <v>0</v>
      </c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>
        <f t="shared" si="6"/>
        <v>199182.44</v>
      </c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46.5" customHeight="1">
      <c r="A120" s="38" t="s">
        <v>297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0" t="s">
        <v>187</v>
      </c>
      <c r="AL120" s="41"/>
      <c r="AM120" s="41"/>
      <c r="AN120" s="41"/>
      <c r="AO120" s="41"/>
      <c r="AP120" s="42"/>
      <c r="AQ120" s="98" t="s">
        <v>277</v>
      </c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37">
        <v>8252300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>
        <f t="shared" si="8"/>
        <v>8252300</v>
      </c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>
        <f>1225230.98+1195432.66+804055.96+869803.44+719772.38</f>
        <v>4814295.42</v>
      </c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43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 t="s">
        <v>43</v>
      </c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>
        <f t="shared" si="12"/>
        <v>4814295.42</v>
      </c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>
        <v>0</v>
      </c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>
        <f t="shared" si="6"/>
        <v>3438004.58</v>
      </c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</row>
    <row r="121" spans="1:166" ht="1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4"/>
      <c r="AK121" s="40" t="s">
        <v>188</v>
      </c>
      <c r="AL121" s="41"/>
      <c r="AM121" s="41"/>
      <c r="AN121" s="41"/>
      <c r="AO121" s="41"/>
      <c r="AP121" s="42"/>
      <c r="AQ121" s="98" t="s">
        <v>322</v>
      </c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37">
        <f>SUM(BC122:BT123)</f>
        <v>7496300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>
        <f t="shared" si="8"/>
        <v>7496300</v>
      </c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f>SUM(CH122:CW123)</f>
        <v>4374196.659999999</v>
      </c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43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 t="s">
        <v>43</v>
      </c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>
        <f t="shared" si="12"/>
        <v>4374196.659999999</v>
      </c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>
        <f>SUM(EK122:EW123)</f>
        <v>0</v>
      </c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>
        <f t="shared" si="6"/>
        <v>3122103.340000001</v>
      </c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43.5" customHeight="1">
      <c r="A122" s="60" t="s">
        <v>294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40" t="s">
        <v>318</v>
      </c>
      <c r="AL122" s="41"/>
      <c r="AM122" s="41"/>
      <c r="AN122" s="41"/>
      <c r="AO122" s="41"/>
      <c r="AP122" s="42"/>
      <c r="AQ122" s="96" t="s">
        <v>278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62">
        <f>72000+79294</f>
        <v>151294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f>SUM(BC122)</f>
        <v>151294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f>11038.78+13527.88+11884.74+11728.21+13182.45+13714.04+13196.03</f>
        <v>88272.13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 t="s">
        <v>43</v>
      </c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 t="s">
        <v>43</v>
      </c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12"/>
        <v>88272.13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63021.869999999995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</row>
    <row r="123" spans="1:166" ht="33.75" customHeight="1">
      <c r="A123" s="55" t="s">
        <v>297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40" t="s">
        <v>189</v>
      </c>
      <c r="AL123" s="41"/>
      <c r="AM123" s="41"/>
      <c r="AN123" s="41"/>
      <c r="AO123" s="41"/>
      <c r="AP123" s="42"/>
      <c r="AQ123" s="96" t="s">
        <v>279</v>
      </c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62">
        <f>7424300-79294</f>
        <v>7345006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f t="shared" si="8"/>
        <v>7345006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f>1231262.3+1301383.24+13660.78+554959.96+544015.24+640643.01</f>
        <v>4285924.529999999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 t="s">
        <v>43</v>
      </c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 t="s">
        <v>43</v>
      </c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12"/>
        <v>4285924.529999999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3059081.4700000007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</row>
    <row r="124" spans="1:166" ht="33.75" customHeight="1" thickBot="1">
      <c r="A124" s="38" t="s">
        <v>297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40" t="s">
        <v>190</v>
      </c>
      <c r="AL124" s="41"/>
      <c r="AM124" s="41"/>
      <c r="AN124" s="41"/>
      <c r="AO124" s="41"/>
      <c r="AP124" s="42"/>
      <c r="AQ124" s="37" t="s">
        <v>319</v>
      </c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>
        <f>13157312.17+1685690.86+175.38+4934621.59</f>
        <v>19777800</v>
      </c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>
        <f>SUM(BC124)</f>
        <v>19777800</v>
      </c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>
        <f>1685690.86+4934621.59+1830755.23+1637626.46+1764192.59</f>
        <v>11852886.73</v>
      </c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 t="s">
        <v>43</v>
      </c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 t="s">
        <v>43</v>
      </c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>
        <f t="shared" si="12"/>
        <v>11852886.73</v>
      </c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>
        <v>0</v>
      </c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>
        <f>SUM(BU124-DX124)</f>
        <v>7924913.27</v>
      </c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</row>
    <row r="125" spans="1:166" ht="15" customHeight="1" thickBo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40" t="s">
        <v>191</v>
      </c>
      <c r="AL125" s="41"/>
      <c r="AM125" s="41"/>
      <c r="AN125" s="41"/>
      <c r="AO125" s="41"/>
      <c r="AP125" s="42"/>
      <c r="AQ125" s="44" t="s">
        <v>280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3">
        <f>SUM(BC126:BT128)</f>
        <v>337000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4">
        <f t="shared" si="8"/>
        <v>337000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3">
        <f>SUM(CH126:CW128)</f>
        <v>160810.2</v>
      </c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 t="s">
        <v>43</v>
      </c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 t="s">
        <v>43</v>
      </c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4">
        <f aca="true" t="shared" si="13" ref="DX125:DX136">SUM(CH125)</f>
        <v>160810.2</v>
      </c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3">
        <f>SUM(EK126:EW128)</f>
        <v>0</v>
      </c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4">
        <f t="shared" si="6"/>
        <v>176189.8</v>
      </c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26.25" customHeight="1" thickBot="1">
      <c r="A126" s="60" t="s">
        <v>298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40" t="s">
        <v>317</v>
      </c>
      <c r="AL126" s="41"/>
      <c r="AM126" s="41"/>
      <c r="AN126" s="41"/>
      <c r="AO126" s="41"/>
      <c r="AP126" s="42"/>
      <c r="AQ126" s="57" t="s">
        <v>281</v>
      </c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46">
        <v>231100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57">
        <f t="shared" si="8"/>
        <v>231100</v>
      </c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46">
        <f>7000+11585.42+17378.13+29481.98+7000+17754.28+22635.03</f>
        <v>112834.84</v>
      </c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 t="s">
        <v>43</v>
      </c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 t="s">
        <v>43</v>
      </c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57">
        <f t="shared" si="13"/>
        <v>112834.84</v>
      </c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46">
        <v>0</v>
      </c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57">
        <f aca="true" t="shared" si="14" ref="EX126:EX135">SUM(BU126-DX126)</f>
        <v>118265.16</v>
      </c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92"/>
    </row>
    <row r="127" spans="1:166" ht="38.25" customHeight="1" thickBot="1">
      <c r="A127" s="60" t="s">
        <v>299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40" t="s">
        <v>192</v>
      </c>
      <c r="AL127" s="41"/>
      <c r="AM127" s="41"/>
      <c r="AN127" s="41"/>
      <c r="AO127" s="41"/>
      <c r="AP127" s="42"/>
      <c r="AQ127" s="57" t="s">
        <v>282</v>
      </c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46">
        <v>36100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57">
        <f t="shared" si="8"/>
        <v>36100</v>
      </c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46">
        <f>9027.6+9027.6</f>
        <v>18055.2</v>
      </c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 t="s">
        <v>43</v>
      </c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 t="s">
        <v>43</v>
      </c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57">
        <f t="shared" si="13"/>
        <v>18055.2</v>
      </c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46">
        <v>0</v>
      </c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57">
        <f t="shared" si="14"/>
        <v>18044.8</v>
      </c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92"/>
    </row>
    <row r="128" spans="1:166" ht="52.5" customHeight="1" thickBot="1">
      <c r="A128" s="60" t="s">
        <v>300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40" t="s">
        <v>193</v>
      </c>
      <c r="AL128" s="41"/>
      <c r="AM128" s="41"/>
      <c r="AN128" s="41"/>
      <c r="AO128" s="41"/>
      <c r="AP128" s="42"/>
      <c r="AQ128" s="57" t="s">
        <v>283</v>
      </c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46">
        <v>69800</v>
      </c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57">
        <f t="shared" si="8"/>
        <v>69800</v>
      </c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46">
        <f>3498.8+5248.2+10449.58+5361.79+5361.79</f>
        <v>29920.160000000003</v>
      </c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 t="s">
        <v>43</v>
      </c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 t="s">
        <v>43</v>
      </c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57">
        <f t="shared" si="13"/>
        <v>29920.160000000003</v>
      </c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46">
        <v>0</v>
      </c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57">
        <f t="shared" si="14"/>
        <v>39879.84</v>
      </c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92"/>
    </row>
    <row r="129" spans="1:166" ht="39" customHeight="1" thickBot="1">
      <c r="A129" s="53" t="s">
        <v>294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4"/>
      <c r="AK129" s="40" t="s">
        <v>198</v>
      </c>
      <c r="AL129" s="41"/>
      <c r="AM129" s="41"/>
      <c r="AN129" s="41"/>
      <c r="AO129" s="41"/>
      <c r="AP129" s="42"/>
      <c r="AQ129" s="44" t="s">
        <v>284</v>
      </c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3">
        <f>186500-18685</f>
        <v>167815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4">
        <f t="shared" si="8"/>
        <v>167815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3">
        <f>28301.38+13176.73+11330.49+5622.84+6770.08+4383.09</f>
        <v>69584.61</v>
      </c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 t="s">
        <v>43</v>
      </c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 t="s">
        <v>43</v>
      </c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4">
        <f t="shared" si="13"/>
        <v>69584.61</v>
      </c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3">
        <v>0</v>
      </c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4">
        <f t="shared" si="14"/>
        <v>98230.39</v>
      </c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15" customHeight="1" thickBo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40" t="s">
        <v>194</v>
      </c>
      <c r="AL130" s="41"/>
      <c r="AM130" s="41"/>
      <c r="AN130" s="41"/>
      <c r="AO130" s="41"/>
      <c r="AP130" s="42"/>
      <c r="AQ130" s="44" t="s">
        <v>285</v>
      </c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3">
        <f>SUM(BC131:BT135)</f>
        <v>8819300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4">
        <f t="shared" si="8"/>
        <v>8819300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3">
        <f>SUM(CH131:CW135)</f>
        <v>4478735.96</v>
      </c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 t="s">
        <v>43</v>
      </c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 t="s">
        <v>43</v>
      </c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4">
        <f t="shared" si="13"/>
        <v>4478735.96</v>
      </c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3">
        <f>SUM(EK131:EW135)</f>
        <v>0</v>
      </c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4">
        <f t="shared" si="14"/>
        <v>4340564.04</v>
      </c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4.75" customHeight="1" thickBot="1">
      <c r="A131" s="60" t="s">
        <v>298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40" t="s">
        <v>195</v>
      </c>
      <c r="AL131" s="41"/>
      <c r="AM131" s="41"/>
      <c r="AN131" s="41"/>
      <c r="AO131" s="41"/>
      <c r="AP131" s="42"/>
      <c r="AQ131" s="194" t="s">
        <v>286</v>
      </c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46">
        <v>5886600</v>
      </c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57">
        <f>SUM(BC131)</f>
        <v>5886600</v>
      </c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46">
        <f>167200+477680.86+501990.24+724668.23+218447.38+454796.21+485106.01</f>
        <v>3029888.9299999997</v>
      </c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 t="s">
        <v>43</v>
      </c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 t="s">
        <v>43</v>
      </c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57">
        <f t="shared" si="13"/>
        <v>3029888.9299999997</v>
      </c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46">
        <v>0</v>
      </c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57">
        <f t="shared" si="14"/>
        <v>2856711.0700000003</v>
      </c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92"/>
    </row>
    <row r="132" spans="1:166" ht="36.75" customHeight="1" thickBot="1">
      <c r="A132" s="60" t="s">
        <v>299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40" t="s">
        <v>196</v>
      </c>
      <c r="AL132" s="41"/>
      <c r="AM132" s="41"/>
      <c r="AN132" s="41"/>
      <c r="AO132" s="41"/>
      <c r="AP132" s="42"/>
      <c r="AQ132" s="57" t="s">
        <v>287</v>
      </c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46">
        <v>603800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57">
        <f>SUM(BC132)</f>
        <v>603800</v>
      </c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46">
        <f>50+5003.6+145142.26+9292.8+140198.4</f>
        <v>299687.06</v>
      </c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 t="s">
        <v>43</v>
      </c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 t="s">
        <v>43</v>
      </c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57">
        <f t="shared" si="13"/>
        <v>299687.06</v>
      </c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46">
        <v>0</v>
      </c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57">
        <f t="shared" si="14"/>
        <v>304112.94</v>
      </c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92"/>
    </row>
    <row r="133" spans="1:166" ht="49.5" customHeight="1" thickBot="1">
      <c r="A133" s="60" t="s">
        <v>300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40" t="s">
        <v>199</v>
      </c>
      <c r="AL133" s="41"/>
      <c r="AM133" s="41"/>
      <c r="AN133" s="41"/>
      <c r="AO133" s="41"/>
      <c r="AP133" s="42"/>
      <c r="AQ133" s="193" t="s">
        <v>288</v>
      </c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46">
        <v>1753600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57">
        <f>SUM(BC133)</f>
        <v>1753600</v>
      </c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46">
        <f>126788.91+138278.73+279466.13+138037.25+142427.94</f>
        <v>824998.96</v>
      </c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 t="s">
        <v>43</v>
      </c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 t="s">
        <v>43</v>
      </c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57">
        <f t="shared" si="13"/>
        <v>824998.96</v>
      </c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46">
        <v>0</v>
      </c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57">
        <f t="shared" si="14"/>
        <v>928601.04</v>
      </c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92"/>
    </row>
    <row r="134" spans="1:166" ht="37.5" customHeight="1" thickBot="1">
      <c r="A134" s="60" t="s">
        <v>294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40" t="s">
        <v>320</v>
      </c>
      <c r="AL134" s="41"/>
      <c r="AM134" s="41"/>
      <c r="AN134" s="41"/>
      <c r="AO134" s="41"/>
      <c r="AP134" s="42"/>
      <c r="AQ134" s="46" t="s">
        <v>289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>
        <v>563300</v>
      </c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57">
        <f>SUM(BC134)</f>
        <v>563300</v>
      </c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46">
        <f>64893.83+42206.45+50765.46+33832.59+16035.1+63394.9+47764.53</f>
        <v>318892.86</v>
      </c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 t="s">
        <v>43</v>
      </c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 t="s">
        <v>43</v>
      </c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57">
        <f t="shared" si="13"/>
        <v>318892.86</v>
      </c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46">
        <v>0</v>
      </c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57">
        <f t="shared" si="14"/>
        <v>244407.14</v>
      </c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92"/>
    </row>
    <row r="135" spans="1:166" ht="15" customHeight="1" thickBot="1">
      <c r="A135" s="195" t="s">
        <v>301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40" t="s">
        <v>323</v>
      </c>
      <c r="AL135" s="41"/>
      <c r="AM135" s="41"/>
      <c r="AN135" s="41"/>
      <c r="AO135" s="41"/>
      <c r="AP135" s="42"/>
      <c r="AQ135" s="196" t="s">
        <v>290</v>
      </c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46">
        <v>12000</v>
      </c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57">
        <f>SUM(BC135)</f>
        <v>12000</v>
      </c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46">
        <f>402+2275.05+2591.1</f>
        <v>5268.15</v>
      </c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 t="s">
        <v>43</v>
      </c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 t="s">
        <v>43</v>
      </c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57">
        <f t="shared" si="13"/>
        <v>5268.15</v>
      </c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46">
        <v>0</v>
      </c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57">
        <f t="shared" si="14"/>
        <v>6731.85</v>
      </c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92"/>
    </row>
    <row r="136" spans="1:166" ht="26.25" customHeight="1" thickBot="1">
      <c r="A136" s="188" t="s">
        <v>104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9"/>
      <c r="AK136" s="190" t="s">
        <v>105</v>
      </c>
      <c r="AL136" s="191"/>
      <c r="AM136" s="191"/>
      <c r="AN136" s="191"/>
      <c r="AO136" s="191"/>
      <c r="AP136" s="191"/>
      <c r="AQ136" s="192" t="s">
        <v>33</v>
      </c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86" t="s">
        <v>33</v>
      </c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 t="s">
        <v>33</v>
      </c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>
        <f>SUM(-Лист2!BC8)</f>
        <v>685470.8300000131</v>
      </c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 t="s">
        <v>43</v>
      </c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 t="s">
        <v>43</v>
      </c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>
        <f t="shared" si="13"/>
        <v>685470.8300000131</v>
      </c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 t="s">
        <v>33</v>
      </c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 t="s">
        <v>33</v>
      </c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7"/>
    </row>
    <row r="137" spans="1:166" ht="26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7"/>
      <c r="AL137" s="7"/>
      <c r="AM137" s="7"/>
      <c r="AN137" s="7"/>
      <c r="AO137" s="7"/>
      <c r="AP137" s="7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</row>
    <row r="138" spans="1:166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4"/>
      <c r="BC138" s="7"/>
      <c r="BD138" s="7"/>
      <c r="BE138" s="7"/>
      <c r="BF138" s="7"/>
      <c r="BG138" s="7"/>
      <c r="BH138" s="7"/>
      <c r="BI138" s="7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</sheetData>
  <sheetProtection/>
  <mergeCells count="1167"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  <mergeCell ref="CH57:CW57"/>
    <mergeCell ref="ET5:FJ5"/>
    <mergeCell ref="EK71:EW71"/>
    <mergeCell ref="EX71:FJ71"/>
    <mergeCell ref="EK70:EW70"/>
    <mergeCell ref="EX70:FJ70"/>
    <mergeCell ref="EX54:FJ54"/>
    <mergeCell ref="EK54:EW54"/>
    <mergeCell ref="CF21:CV21"/>
    <mergeCell ref="CW21:DM21"/>
    <mergeCell ref="BC69:BT69"/>
    <mergeCell ref="BU69:CG69"/>
    <mergeCell ref="DX56:EJ56"/>
    <mergeCell ref="EK56:EW56"/>
    <mergeCell ref="BU54:CG54"/>
    <mergeCell ref="BC55:BT55"/>
    <mergeCell ref="BU55:CG55"/>
    <mergeCell ref="CH55:CW55"/>
    <mergeCell ref="ET31:FJ31"/>
    <mergeCell ref="CX56:DJ56"/>
    <mergeCell ref="EK135:EW135"/>
    <mergeCell ref="EX56:FJ56"/>
    <mergeCell ref="EX55:FJ55"/>
    <mergeCell ref="A70:AJ70"/>
    <mergeCell ref="AK70:AP70"/>
    <mergeCell ref="AQ70:BB70"/>
    <mergeCell ref="BC70:BT70"/>
    <mergeCell ref="BU70:CG70"/>
    <mergeCell ref="CH135:CW135"/>
    <mergeCell ref="CX135:DJ135"/>
    <mergeCell ref="DK135:DW135"/>
    <mergeCell ref="DX135:EJ135"/>
    <mergeCell ref="DN31:ED31"/>
    <mergeCell ref="EE31:ES31"/>
    <mergeCell ref="CH70:CW70"/>
    <mergeCell ref="CX63:DJ63"/>
    <mergeCell ref="CX55:DJ55"/>
    <mergeCell ref="DK55:DW55"/>
    <mergeCell ref="EX135:FJ135"/>
    <mergeCell ref="DK56:DW56"/>
    <mergeCell ref="CH71:CW71"/>
    <mergeCell ref="CX69:DJ69"/>
    <mergeCell ref="CX71:DJ71"/>
    <mergeCell ref="A135:AJ135"/>
    <mergeCell ref="AK135:AP135"/>
    <mergeCell ref="AQ135:BB135"/>
    <mergeCell ref="BC135:BT135"/>
    <mergeCell ref="BU135:CG135"/>
    <mergeCell ref="DK110:DW110"/>
    <mergeCell ref="DX110:EJ110"/>
    <mergeCell ref="DX108:EJ108"/>
    <mergeCell ref="DX107:EJ107"/>
    <mergeCell ref="DK103:DW103"/>
    <mergeCell ref="AK56:AP56"/>
    <mergeCell ref="AQ56:BB56"/>
    <mergeCell ref="BC56:BT56"/>
    <mergeCell ref="BU56:CG56"/>
    <mergeCell ref="CH56:CW56"/>
    <mergeCell ref="EX110:FJ110"/>
    <mergeCell ref="A111:AJ111"/>
    <mergeCell ref="AK111:AP111"/>
    <mergeCell ref="AQ111:BB111"/>
    <mergeCell ref="BC111:BT111"/>
    <mergeCell ref="BU111:CG111"/>
    <mergeCell ref="CH111:CW111"/>
    <mergeCell ref="EX111:FJ111"/>
    <mergeCell ref="CX111:DJ111"/>
    <mergeCell ref="DK111:DW111"/>
    <mergeCell ref="CX109:DJ109"/>
    <mergeCell ref="DK109:DW109"/>
    <mergeCell ref="DX109:EJ109"/>
    <mergeCell ref="EK109:EW109"/>
    <mergeCell ref="EX109:FJ109"/>
    <mergeCell ref="EK55:EW55"/>
    <mergeCell ref="DK71:DW71"/>
    <mergeCell ref="CH109:CW109"/>
    <mergeCell ref="A109:AJ109"/>
    <mergeCell ref="AK109:AP109"/>
    <mergeCell ref="AQ109:BB109"/>
    <mergeCell ref="BC109:BT109"/>
    <mergeCell ref="BU109:CG109"/>
    <mergeCell ref="AQ115:BB115"/>
    <mergeCell ref="BC115:BT115"/>
    <mergeCell ref="A110:AJ110"/>
    <mergeCell ref="AK114:AP114"/>
    <mergeCell ref="BU110:CG110"/>
    <mergeCell ref="EK110:EW110"/>
    <mergeCell ref="CH110:CW110"/>
    <mergeCell ref="EK111:EW111"/>
    <mergeCell ref="DX111:EJ111"/>
    <mergeCell ref="CX110:DJ110"/>
    <mergeCell ref="BU115:CG115"/>
    <mergeCell ref="AQ114:BB114"/>
    <mergeCell ref="BC114:BT114"/>
    <mergeCell ref="BU114:CG114"/>
    <mergeCell ref="A113:AJ113"/>
    <mergeCell ref="AQ113:BB113"/>
    <mergeCell ref="BC113:BT113"/>
    <mergeCell ref="BU113:CG113"/>
    <mergeCell ref="A115:AJ115"/>
    <mergeCell ref="AK115:AP115"/>
    <mergeCell ref="A116:AJ116"/>
    <mergeCell ref="AK116:AP116"/>
    <mergeCell ref="AQ116:BB116"/>
    <mergeCell ref="BC116:BT116"/>
    <mergeCell ref="BU116:CG116"/>
    <mergeCell ref="AK110:AP110"/>
    <mergeCell ref="AQ110:BB110"/>
    <mergeCell ref="BC110:BT110"/>
    <mergeCell ref="A114:AJ114"/>
    <mergeCell ref="AK113:AP113"/>
    <mergeCell ref="DX115:EJ115"/>
    <mergeCell ref="EK115:EW115"/>
    <mergeCell ref="CX117:DJ117"/>
    <mergeCell ref="EX117:FJ117"/>
    <mergeCell ref="CH116:CW116"/>
    <mergeCell ref="CH115:CW115"/>
    <mergeCell ref="EK117:EW117"/>
    <mergeCell ref="DX116:EJ116"/>
    <mergeCell ref="CX115:DJ115"/>
    <mergeCell ref="A117:AJ117"/>
    <mergeCell ref="AK117:AP117"/>
    <mergeCell ref="AQ117:BB117"/>
    <mergeCell ref="BC117:BT117"/>
    <mergeCell ref="BU117:CG117"/>
    <mergeCell ref="CH117:CW117"/>
    <mergeCell ref="BU132:CG132"/>
    <mergeCell ref="CH132:CW132"/>
    <mergeCell ref="CH131:CW131"/>
    <mergeCell ref="CH130:CW130"/>
    <mergeCell ref="BU131:CG131"/>
    <mergeCell ref="BC130:BT130"/>
    <mergeCell ref="BU130:CG130"/>
    <mergeCell ref="EX112:FJ112"/>
    <mergeCell ref="CX108:DJ108"/>
    <mergeCell ref="DK108:DW108"/>
    <mergeCell ref="EX57:FJ57"/>
    <mergeCell ref="DN27:ED27"/>
    <mergeCell ref="EE27:ES27"/>
    <mergeCell ref="ET27:FJ27"/>
    <mergeCell ref="DN28:ED28"/>
    <mergeCell ref="EX99:FJ99"/>
    <mergeCell ref="EX84:FJ84"/>
    <mergeCell ref="EX113:FJ113"/>
    <mergeCell ref="DK117:DW117"/>
    <mergeCell ref="CX116:DJ116"/>
    <mergeCell ref="DK116:DW116"/>
    <mergeCell ref="EK116:EW116"/>
    <mergeCell ref="EX116:FJ116"/>
    <mergeCell ref="EX114:FJ114"/>
    <mergeCell ref="EX115:FJ115"/>
    <mergeCell ref="DX117:EJ117"/>
    <mergeCell ref="DK115:DW115"/>
    <mergeCell ref="EX130:FJ130"/>
    <mergeCell ref="EX132:FJ132"/>
    <mergeCell ref="CH114:CW114"/>
    <mergeCell ref="CX114:DJ114"/>
    <mergeCell ref="DK114:DW114"/>
    <mergeCell ref="DX114:EJ114"/>
    <mergeCell ref="EK114:EW114"/>
    <mergeCell ref="EK132:EW132"/>
    <mergeCell ref="DX131:EJ131"/>
    <mergeCell ref="EX127:FJ127"/>
    <mergeCell ref="CH113:CW113"/>
    <mergeCell ref="CH112:CW112"/>
    <mergeCell ref="CX112:DJ112"/>
    <mergeCell ref="DK112:DW112"/>
    <mergeCell ref="DX112:EJ112"/>
    <mergeCell ref="EK112:EW112"/>
    <mergeCell ref="CX113:DJ113"/>
    <mergeCell ref="DK113:DW113"/>
    <mergeCell ref="DX113:EJ113"/>
    <mergeCell ref="EK113:EW113"/>
    <mergeCell ref="EK108:EW108"/>
    <mergeCell ref="EX108:FJ108"/>
    <mergeCell ref="A112:AJ112"/>
    <mergeCell ref="AK112:AP112"/>
    <mergeCell ref="AQ112:BB112"/>
    <mergeCell ref="BC112:BT112"/>
    <mergeCell ref="BU112:CG112"/>
    <mergeCell ref="A108:AJ108"/>
    <mergeCell ref="AK108:AP108"/>
    <mergeCell ref="AQ108:BB108"/>
    <mergeCell ref="BC108:BT108"/>
    <mergeCell ref="BU108:CG108"/>
    <mergeCell ref="CH108:CW108"/>
    <mergeCell ref="CH107:CW107"/>
    <mergeCell ref="CX107:DJ107"/>
    <mergeCell ref="DK107:DW107"/>
    <mergeCell ref="EK107:EW107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A106:AJ106"/>
    <mergeCell ref="AK106:AP106"/>
    <mergeCell ref="AQ106:BB106"/>
    <mergeCell ref="BC106:BT106"/>
    <mergeCell ref="BU106:CG106"/>
    <mergeCell ref="CH106:CW106"/>
    <mergeCell ref="CH105:CW105"/>
    <mergeCell ref="CX105:DJ105"/>
    <mergeCell ref="DK105:DW105"/>
    <mergeCell ref="DX105:EJ105"/>
    <mergeCell ref="EK105:EW105"/>
    <mergeCell ref="EX105:FJ105"/>
    <mergeCell ref="CX104:DJ104"/>
    <mergeCell ref="DK104:DW104"/>
    <mergeCell ref="DX104:EJ104"/>
    <mergeCell ref="EK104:EW104"/>
    <mergeCell ref="EX104:FJ104"/>
    <mergeCell ref="DX103:EJ103"/>
    <mergeCell ref="EK103:EW103"/>
    <mergeCell ref="A105:AJ105"/>
    <mergeCell ref="AK105:AP105"/>
    <mergeCell ref="AQ105:BB105"/>
    <mergeCell ref="BC105:BT105"/>
    <mergeCell ref="BU105:CG105"/>
    <mergeCell ref="A104:AJ104"/>
    <mergeCell ref="BU104:CG104"/>
    <mergeCell ref="CH104:CW104"/>
    <mergeCell ref="CH103:CW103"/>
    <mergeCell ref="AK104:AP104"/>
    <mergeCell ref="AQ104:BB104"/>
    <mergeCell ref="BC104:BT104"/>
    <mergeCell ref="CX103:DJ103"/>
    <mergeCell ref="AK103:AP103"/>
    <mergeCell ref="AQ103:BB103"/>
    <mergeCell ref="BC103:BT103"/>
    <mergeCell ref="BU103:CG103"/>
    <mergeCell ref="DK102:DW102"/>
    <mergeCell ref="DX102:EJ102"/>
    <mergeCell ref="EK102:EW102"/>
    <mergeCell ref="A102:AJ102"/>
    <mergeCell ref="AK102:AP102"/>
    <mergeCell ref="AQ102:BB102"/>
    <mergeCell ref="BC102:BT102"/>
    <mergeCell ref="BU102:CG102"/>
    <mergeCell ref="CH102:CW102"/>
    <mergeCell ref="A101:AJ101"/>
    <mergeCell ref="AK101:AP101"/>
    <mergeCell ref="AQ101:BB101"/>
    <mergeCell ref="BC101:BT101"/>
    <mergeCell ref="BU101:CG101"/>
    <mergeCell ref="A100:AJ100"/>
    <mergeCell ref="AK100:AP100"/>
    <mergeCell ref="AQ100:BB100"/>
    <mergeCell ref="BC100:BT100"/>
    <mergeCell ref="CH100:CW100"/>
    <mergeCell ref="CX100:DJ100"/>
    <mergeCell ref="DK100:DW100"/>
    <mergeCell ref="DX100:EJ100"/>
    <mergeCell ref="BU100:CG100"/>
    <mergeCell ref="EX101:FJ101"/>
    <mergeCell ref="EX100:FJ100"/>
    <mergeCell ref="EK100:EW100"/>
    <mergeCell ref="CH101:CW101"/>
    <mergeCell ref="CX101:DJ101"/>
    <mergeCell ref="EX103:FJ103"/>
    <mergeCell ref="CX99:DJ99"/>
    <mergeCell ref="DK99:DW99"/>
    <mergeCell ref="DX99:EJ99"/>
    <mergeCell ref="EK99:EW99"/>
    <mergeCell ref="EX102:FJ102"/>
    <mergeCell ref="DK101:DW101"/>
    <mergeCell ref="DX101:EJ101"/>
    <mergeCell ref="EK101:EW101"/>
    <mergeCell ref="CX102:DJ102"/>
    <mergeCell ref="CH99:CW99"/>
    <mergeCell ref="CH98:CW98"/>
    <mergeCell ref="AK99:AP99"/>
    <mergeCell ref="AQ99:BB99"/>
    <mergeCell ref="BC99:BT99"/>
    <mergeCell ref="BU99:CG99"/>
    <mergeCell ref="BC98:BT98"/>
    <mergeCell ref="BU98:CG98"/>
    <mergeCell ref="EK98:EW98"/>
    <mergeCell ref="EX98:FJ98"/>
    <mergeCell ref="CX97:DJ97"/>
    <mergeCell ref="DK97:DW97"/>
    <mergeCell ref="DX97:EJ97"/>
    <mergeCell ref="EK97:EW97"/>
    <mergeCell ref="EX97:FJ97"/>
    <mergeCell ref="DK96:DW96"/>
    <mergeCell ref="CX98:DJ98"/>
    <mergeCell ref="DK98:DW98"/>
    <mergeCell ref="DX98:EJ98"/>
    <mergeCell ref="CX96:DJ96"/>
    <mergeCell ref="DX96:EJ96"/>
    <mergeCell ref="A97:AJ97"/>
    <mergeCell ref="AK97:AP97"/>
    <mergeCell ref="AQ97:BB97"/>
    <mergeCell ref="BC97:BT97"/>
    <mergeCell ref="BU97:CG97"/>
    <mergeCell ref="CH97:CW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X96:FJ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4:E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3:EW93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EK91:EW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DX89:EJ89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5:EJ85"/>
    <mergeCell ref="EK85:EW85"/>
    <mergeCell ref="CH86:CW86"/>
    <mergeCell ref="CX86:DJ86"/>
    <mergeCell ref="DK86:DW86"/>
    <mergeCell ref="DX86:EJ86"/>
    <mergeCell ref="EK86:EW86"/>
    <mergeCell ref="EK83:EW83"/>
    <mergeCell ref="EX83:FJ83"/>
    <mergeCell ref="CX84:DJ84"/>
    <mergeCell ref="DK84:DW84"/>
    <mergeCell ref="DX84:EJ84"/>
    <mergeCell ref="EK84:EW84"/>
    <mergeCell ref="CX83:DJ83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AQ85:BB85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CH81:CW81"/>
    <mergeCell ref="BC125:BT125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K131:AP131"/>
    <mergeCell ref="AQ131:BB131"/>
    <mergeCell ref="BC131:BT131"/>
    <mergeCell ref="AK130:AP130"/>
    <mergeCell ref="AQ130:BB130"/>
    <mergeCell ref="AK126:AP126"/>
    <mergeCell ref="BC127:BT127"/>
    <mergeCell ref="AK128:AP128"/>
    <mergeCell ref="AQ128:BB128"/>
    <mergeCell ref="AQ126:BB126"/>
    <mergeCell ref="A134:AJ134"/>
    <mergeCell ref="AK134:AP134"/>
    <mergeCell ref="AQ134:BB134"/>
    <mergeCell ref="BC134:BT134"/>
    <mergeCell ref="A133:AJ133"/>
    <mergeCell ref="AK133:AP133"/>
    <mergeCell ref="AQ133:BB133"/>
    <mergeCell ref="BC133:BT133"/>
    <mergeCell ref="DX136:EJ136"/>
    <mergeCell ref="EK136:EW136"/>
    <mergeCell ref="EX136:FJ136"/>
    <mergeCell ref="A136:AJ136"/>
    <mergeCell ref="AK136:AP136"/>
    <mergeCell ref="AQ136:BB136"/>
    <mergeCell ref="BC136:BT136"/>
    <mergeCell ref="BU136:CG136"/>
    <mergeCell ref="CH136:CW136"/>
    <mergeCell ref="CX136:DJ136"/>
    <mergeCell ref="EX133:FJ133"/>
    <mergeCell ref="BU133:CG133"/>
    <mergeCell ref="CH134:CW134"/>
    <mergeCell ref="CX134:DJ134"/>
    <mergeCell ref="DK134:DW134"/>
    <mergeCell ref="DX134:EJ134"/>
    <mergeCell ref="EK134:EW134"/>
    <mergeCell ref="EK133:EW133"/>
    <mergeCell ref="DK136:DW136"/>
    <mergeCell ref="A130:AJ130"/>
    <mergeCell ref="EK131:EW131"/>
    <mergeCell ref="A131:AJ131"/>
    <mergeCell ref="EX134:FJ134"/>
    <mergeCell ref="BU134:CG134"/>
    <mergeCell ref="CH133:CW133"/>
    <mergeCell ref="CX133:DJ133"/>
    <mergeCell ref="DK133:DW133"/>
    <mergeCell ref="DX133:EJ133"/>
    <mergeCell ref="A132:AJ132"/>
    <mergeCell ref="AK132:AP132"/>
    <mergeCell ref="EX131:FJ131"/>
    <mergeCell ref="CX132:DJ132"/>
    <mergeCell ref="DK132:DW132"/>
    <mergeCell ref="CX131:DJ131"/>
    <mergeCell ref="DK131:DW131"/>
    <mergeCell ref="DX132:EJ132"/>
    <mergeCell ref="AQ132:BB132"/>
    <mergeCell ref="BC132:BT132"/>
    <mergeCell ref="DK130:DW130"/>
    <mergeCell ref="CX130:DJ130"/>
    <mergeCell ref="DX129:EJ129"/>
    <mergeCell ref="EK129:EW129"/>
    <mergeCell ref="CX129:DJ129"/>
    <mergeCell ref="DK129:DW129"/>
    <mergeCell ref="DX130:EJ130"/>
    <mergeCell ref="EK130:EW130"/>
    <mergeCell ref="CX126:DJ126"/>
    <mergeCell ref="CX127:DJ127"/>
    <mergeCell ref="BU129:CG129"/>
    <mergeCell ref="CH127:CW127"/>
    <mergeCell ref="CX128:DJ128"/>
    <mergeCell ref="BU127:CG127"/>
    <mergeCell ref="CH129:CW129"/>
    <mergeCell ref="BC123:BT123"/>
    <mergeCell ref="A129:AJ129"/>
    <mergeCell ref="AK129:AP129"/>
    <mergeCell ref="AQ129:BB129"/>
    <mergeCell ref="BC129:BT129"/>
    <mergeCell ref="CH126:CW126"/>
    <mergeCell ref="AK125:AP125"/>
    <mergeCell ref="BU128:CG128"/>
    <mergeCell ref="AQ125:BB125"/>
    <mergeCell ref="A128:AJ128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3:AJ103"/>
    <mergeCell ref="EK119:EW119"/>
    <mergeCell ref="A88:AJ88"/>
    <mergeCell ref="A91:AJ91"/>
    <mergeCell ref="AK91:AP91"/>
    <mergeCell ref="AQ119:BB119"/>
    <mergeCell ref="A119:AJ119"/>
    <mergeCell ref="AQ98:BB98"/>
    <mergeCell ref="A99:AJ99"/>
    <mergeCell ref="DK91:DW91"/>
    <mergeCell ref="DX88:EJ88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DX119:EJ119"/>
    <mergeCell ref="EX85:FJ85"/>
    <mergeCell ref="BU87:CG87"/>
    <mergeCell ref="BU81:CG81"/>
    <mergeCell ref="EX125:FJ125"/>
    <mergeCell ref="EK126:EW126"/>
    <mergeCell ref="CH125:CW125"/>
    <mergeCell ref="BU125:CG125"/>
    <mergeCell ref="DX126:EJ126"/>
    <mergeCell ref="CX125:DJ125"/>
    <mergeCell ref="DK122:DW122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BU84:CG84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DK65:DW65"/>
    <mergeCell ref="EX59:FJ59"/>
    <mergeCell ref="EK62:EW62"/>
    <mergeCell ref="EK60:EW60"/>
    <mergeCell ref="EX61:FJ61"/>
    <mergeCell ref="DX60:EJ60"/>
    <mergeCell ref="EX62:FJ62"/>
    <mergeCell ref="DX61:EJ61"/>
    <mergeCell ref="DX62:EJ62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75:DW75"/>
    <mergeCell ref="EK59:EW59"/>
    <mergeCell ref="A81:AJ81"/>
    <mergeCell ref="A78:AJ78"/>
    <mergeCell ref="A80:AJ80"/>
    <mergeCell ref="BC79:BT79"/>
    <mergeCell ref="AK79:AP79"/>
    <mergeCell ref="AQ79:BB79"/>
    <mergeCell ref="A79:AJ79"/>
    <mergeCell ref="BC81:BT81"/>
    <mergeCell ref="AK80:AP80"/>
    <mergeCell ref="DK59:DW59"/>
    <mergeCell ref="AK76:AP76"/>
    <mergeCell ref="BC78:BT78"/>
    <mergeCell ref="DK76:DW76"/>
    <mergeCell ref="CX75:DJ75"/>
    <mergeCell ref="CH69:CW69"/>
    <mergeCell ref="CH59:CW59"/>
    <mergeCell ref="DK69:DW69"/>
    <mergeCell ref="AK78:AP78"/>
    <mergeCell ref="AK72:AP72"/>
    <mergeCell ref="DX75:EJ75"/>
    <mergeCell ref="DX71:EJ71"/>
    <mergeCell ref="DX73:EJ73"/>
    <mergeCell ref="DK67:DW67"/>
    <mergeCell ref="DX67:EJ67"/>
    <mergeCell ref="DX70:EJ70"/>
    <mergeCell ref="AQ72:BB72"/>
    <mergeCell ref="AK66:AP66"/>
    <mergeCell ref="A59:AJ59"/>
    <mergeCell ref="AK59:AP59"/>
    <mergeCell ref="A63:AJ63"/>
    <mergeCell ref="AK63:AP63"/>
    <mergeCell ref="A69:AJ69"/>
    <mergeCell ref="AK69:AP69"/>
    <mergeCell ref="AQ69:BB69"/>
    <mergeCell ref="A71:AJ71"/>
    <mergeCell ref="BC63:BT63"/>
    <mergeCell ref="AK62:AP62"/>
    <mergeCell ref="AQ63:BB63"/>
    <mergeCell ref="BU62:CG62"/>
    <mergeCell ref="BC61:BT61"/>
    <mergeCell ref="A61:AJ61"/>
    <mergeCell ref="BU61:CG61"/>
    <mergeCell ref="DX64:EJ64"/>
    <mergeCell ref="AK65:AP65"/>
    <mergeCell ref="AQ65:BB65"/>
    <mergeCell ref="BU63:CG63"/>
    <mergeCell ref="DX63:EJ63"/>
    <mergeCell ref="BU59:CG59"/>
    <mergeCell ref="DX59:EJ59"/>
    <mergeCell ref="AQ59:BB59"/>
    <mergeCell ref="BC59:BT59"/>
    <mergeCell ref="CX64:DJ64"/>
    <mergeCell ref="DK52:DW52"/>
    <mergeCell ref="DX52:EJ52"/>
    <mergeCell ref="AQ55:BB55"/>
    <mergeCell ref="BU52:CG52"/>
    <mergeCell ref="BU57:CG57"/>
    <mergeCell ref="AQ57:BB57"/>
    <mergeCell ref="CH54:CW54"/>
    <mergeCell ref="CX54:DJ54"/>
    <mergeCell ref="DK54:DW54"/>
    <mergeCell ref="DX54:EJ54"/>
    <mergeCell ref="AK61:AP61"/>
    <mergeCell ref="AQ61:BB61"/>
    <mergeCell ref="A57:AJ57"/>
    <mergeCell ref="AK57:AP57"/>
    <mergeCell ref="BC57:BT57"/>
    <mergeCell ref="AK58:AP58"/>
    <mergeCell ref="AQ58:BB58"/>
    <mergeCell ref="DX50:EJ50"/>
    <mergeCell ref="BU50:CG50"/>
    <mergeCell ref="A51:AJ51"/>
    <mergeCell ref="CX53:DJ53"/>
    <mergeCell ref="CX57:DJ57"/>
    <mergeCell ref="A56:AJ56"/>
    <mergeCell ref="AK54:AP54"/>
    <mergeCell ref="AQ54:BB54"/>
    <mergeCell ref="BC54:BT54"/>
    <mergeCell ref="AK55:AP55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BC50:BT50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DX49:EJ49"/>
    <mergeCell ref="BC58:BT58"/>
    <mergeCell ref="BU58:CG58"/>
    <mergeCell ref="BU53:CG53"/>
    <mergeCell ref="A54:AJ54"/>
    <mergeCell ref="CX50:DJ50"/>
    <mergeCell ref="DK50:DW50"/>
    <mergeCell ref="A52:AJ52"/>
    <mergeCell ref="AK48:AP49"/>
    <mergeCell ref="AQ48:BB49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DN26:ED26"/>
    <mergeCell ref="EE26:ES26"/>
    <mergeCell ref="CW25:DM25"/>
    <mergeCell ref="DN25:ED25"/>
    <mergeCell ref="AT25:BB25"/>
    <mergeCell ref="EE25:ES25"/>
    <mergeCell ref="BK25:CE25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BU48:CG49"/>
    <mergeCell ref="AK52:AP52"/>
    <mergeCell ref="AQ52:BB52"/>
    <mergeCell ref="BC52:BT52"/>
    <mergeCell ref="AK50:AP50"/>
    <mergeCell ref="AQ50:BB50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BC48:BT49"/>
    <mergeCell ref="A58:AJ58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T33:BB33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A27:AM27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EX63:FJ63"/>
    <mergeCell ref="EK68:EW68"/>
    <mergeCell ref="EX65:FJ65"/>
    <mergeCell ref="CH78:CW78"/>
    <mergeCell ref="EK128:EW128"/>
    <mergeCell ref="EK120:EW120"/>
    <mergeCell ref="DX66:EJ66"/>
    <mergeCell ref="DK66:DW66"/>
    <mergeCell ref="DK74:DW74"/>
    <mergeCell ref="DX69:EJ69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K78:EW78"/>
    <mergeCell ref="EX78:FJ78"/>
    <mergeCell ref="EX77:FJ77"/>
    <mergeCell ref="EX73:FJ73"/>
    <mergeCell ref="EK69:EW69"/>
    <mergeCell ref="EX69:FJ69"/>
    <mergeCell ref="EK72:EW72"/>
    <mergeCell ref="CX60:DJ60"/>
    <mergeCell ref="CH62:CW62"/>
    <mergeCell ref="CX62:DJ62"/>
    <mergeCell ref="CH61:CW61"/>
    <mergeCell ref="DK60:DW60"/>
    <mergeCell ref="CX61:DJ61"/>
    <mergeCell ref="DK61:DW61"/>
    <mergeCell ref="DK63:DW63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EX129:FJ129"/>
    <mergeCell ref="AK119:AP119"/>
    <mergeCell ref="BC119:BT119"/>
    <mergeCell ref="BU119:CG119"/>
    <mergeCell ref="DK128:DW128"/>
    <mergeCell ref="DX128:EJ128"/>
    <mergeCell ref="EX128:FJ128"/>
    <mergeCell ref="CX120:DJ120"/>
    <mergeCell ref="AQ127:BB127"/>
    <mergeCell ref="DX120:EJ120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A122:AJ122"/>
    <mergeCell ref="AK122:AP122"/>
    <mergeCell ref="AQ122:BB122"/>
    <mergeCell ref="BC122:BT122"/>
    <mergeCell ref="BU122:CG122"/>
    <mergeCell ref="A121:AJ121"/>
    <mergeCell ref="AQ121:BB121"/>
    <mergeCell ref="BC121:BT121"/>
    <mergeCell ref="A77:AJ77"/>
    <mergeCell ref="DX125:EJ125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5:AJ125"/>
    <mergeCell ref="BC126:BT126"/>
    <mergeCell ref="BU126:CG126"/>
    <mergeCell ref="A126:AJ126"/>
    <mergeCell ref="BC128:BT128"/>
    <mergeCell ref="A127:AJ127"/>
    <mergeCell ref="AK127:AP127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DK125:DW125"/>
    <mergeCell ref="CH128:CW128"/>
    <mergeCell ref="CX121:DJ121"/>
    <mergeCell ref="DK127:DW127"/>
    <mergeCell ref="DX127:EJ127"/>
    <mergeCell ref="EK127:EW127"/>
    <mergeCell ref="CX122:DJ122"/>
    <mergeCell ref="EK123:EW123"/>
    <mergeCell ref="DK126:DW126"/>
    <mergeCell ref="EK125:EW125"/>
    <mergeCell ref="EX126:FJ126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EE29:ES29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C72:BT72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X68:FJ68"/>
    <mergeCell ref="A68:AJ68"/>
    <mergeCell ref="AK68:AP68"/>
    <mergeCell ref="AQ68:BB68"/>
    <mergeCell ref="BC68:BT68"/>
    <mergeCell ref="BU68:CG68"/>
    <mergeCell ref="CH68:CW68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BC67:BT67"/>
    <mergeCell ref="BU67:CG67"/>
    <mergeCell ref="A65:AJ65"/>
    <mergeCell ref="A60:AJ60"/>
    <mergeCell ref="BU64:CG64"/>
    <mergeCell ref="A62:AJ62"/>
    <mergeCell ref="BU66:CG66"/>
    <mergeCell ref="AQ62:BB62"/>
    <mergeCell ref="BC62:BT62"/>
    <mergeCell ref="A64:AJ64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EK64:EW64"/>
    <mergeCell ref="A124:AJ124"/>
    <mergeCell ref="AK124:AP124"/>
    <mergeCell ref="AQ124:BB124"/>
    <mergeCell ref="BC124:BT124"/>
    <mergeCell ref="BU124:CG124"/>
    <mergeCell ref="CH124:CW124"/>
    <mergeCell ref="CH118:CW118"/>
    <mergeCell ref="CX124:DJ124"/>
    <mergeCell ref="DK124:DW124"/>
    <mergeCell ref="DX124:EJ124"/>
    <mergeCell ref="EK124:EW124"/>
    <mergeCell ref="EX124:FJ124"/>
    <mergeCell ref="EX121:FJ121"/>
    <mergeCell ref="EK121:EW121"/>
    <mergeCell ref="CH121:CW121"/>
    <mergeCell ref="DK121:DW121"/>
    <mergeCell ref="CX118:DJ118"/>
    <mergeCell ref="DK118:DW118"/>
    <mergeCell ref="DX118:EJ118"/>
    <mergeCell ref="EK118:EW118"/>
    <mergeCell ref="EX118:FJ118"/>
    <mergeCell ref="A118:AJ118"/>
    <mergeCell ref="AK118:AP118"/>
    <mergeCell ref="AQ118:BB118"/>
    <mergeCell ref="BC118:BT118"/>
    <mergeCell ref="BU118:CG118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124</v>
      </c>
      <c r="AF4" s="197"/>
      <c r="AG4" s="197"/>
      <c r="AH4" s="197"/>
      <c r="AI4" s="197"/>
      <c r="AJ4" s="197" t="s">
        <v>125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126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127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128</v>
      </c>
      <c r="AF5" s="201"/>
      <c r="AG5" s="201"/>
      <c r="AH5" s="201"/>
      <c r="AI5" s="201"/>
      <c r="AJ5" s="201" t="s">
        <v>129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130</v>
      </c>
      <c r="AU5" s="201"/>
      <c r="AV5" s="201"/>
      <c r="AW5" s="201"/>
      <c r="AX5" s="201"/>
      <c r="AY5" s="201"/>
      <c r="AZ5" s="201"/>
      <c r="BA5" s="201"/>
      <c r="BB5" s="201"/>
      <c r="BC5" s="201" t="s">
        <v>131</v>
      </c>
      <c r="BD5" s="201"/>
      <c r="BE5" s="201"/>
      <c r="BF5" s="201"/>
      <c r="BG5" s="201"/>
      <c r="BH5" s="201"/>
      <c r="BI5" s="201"/>
      <c r="BJ5" s="201"/>
      <c r="BK5" s="201"/>
      <c r="BL5" s="201" t="s">
        <v>131</v>
      </c>
      <c r="BM5" s="201"/>
      <c r="BN5" s="201"/>
      <c r="BO5" s="201"/>
      <c r="BP5" s="201"/>
      <c r="BQ5" s="201"/>
      <c r="BR5" s="201"/>
      <c r="BS5" s="201"/>
      <c r="BT5" s="201"/>
      <c r="BU5" s="201" t="s">
        <v>132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133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134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135</v>
      </c>
      <c r="AU6" s="201"/>
      <c r="AV6" s="201"/>
      <c r="AW6" s="201"/>
      <c r="AX6" s="201"/>
      <c r="AY6" s="201"/>
      <c r="AZ6" s="201"/>
      <c r="BA6" s="201"/>
      <c r="BB6" s="201"/>
      <c r="BC6" s="201" t="s">
        <v>136</v>
      </c>
      <c r="BD6" s="201"/>
      <c r="BE6" s="201"/>
      <c r="BF6" s="201"/>
      <c r="BG6" s="201"/>
      <c r="BH6" s="201"/>
      <c r="BI6" s="201"/>
      <c r="BJ6" s="201"/>
      <c r="BK6" s="201"/>
      <c r="BL6" s="201" t="s">
        <v>137</v>
      </c>
      <c r="BM6" s="201"/>
      <c r="BN6" s="201"/>
      <c r="BO6" s="201"/>
      <c r="BP6" s="201"/>
      <c r="BQ6" s="201"/>
      <c r="BR6" s="201"/>
      <c r="BS6" s="201"/>
      <c r="BT6" s="201"/>
      <c r="BU6" s="201" t="s">
        <v>138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135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139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140</v>
      </c>
      <c r="BD7" s="201"/>
      <c r="BE7" s="201"/>
      <c r="BF7" s="201"/>
      <c r="BG7" s="201"/>
      <c r="BH7" s="201"/>
      <c r="BI7" s="201"/>
      <c r="BJ7" s="201"/>
      <c r="BK7" s="201"/>
      <c r="BL7" s="201" t="s">
        <v>141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-685470.8300000131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-685470.8300000131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211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212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-685470.8300000131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-685470.8300000131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AA35" sqref="AA35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124</v>
      </c>
      <c r="AF3" s="197"/>
      <c r="AG3" s="197"/>
      <c r="AH3" s="197"/>
      <c r="AI3" s="197"/>
      <c r="AJ3" s="197" t="s">
        <v>125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126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127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128</v>
      </c>
      <c r="AF4" s="201"/>
      <c r="AG4" s="201"/>
      <c r="AH4" s="201"/>
      <c r="AI4" s="201"/>
      <c r="AJ4" s="201" t="s">
        <v>129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130</v>
      </c>
      <c r="AU4" s="201"/>
      <c r="AV4" s="201"/>
      <c r="AW4" s="201"/>
      <c r="AX4" s="201"/>
      <c r="AY4" s="201"/>
      <c r="AZ4" s="201"/>
      <c r="BA4" s="201"/>
      <c r="BB4" s="201"/>
      <c r="BC4" s="201" t="s">
        <v>131</v>
      </c>
      <c r="BD4" s="201"/>
      <c r="BE4" s="201"/>
      <c r="BF4" s="201"/>
      <c r="BG4" s="201"/>
      <c r="BH4" s="201"/>
      <c r="BI4" s="201"/>
      <c r="BJ4" s="201"/>
      <c r="BK4" s="201"/>
      <c r="BL4" s="201" t="s">
        <v>131</v>
      </c>
      <c r="BM4" s="201"/>
      <c r="BN4" s="201"/>
      <c r="BO4" s="201"/>
      <c r="BP4" s="201"/>
      <c r="BQ4" s="201"/>
      <c r="BR4" s="201"/>
      <c r="BS4" s="201"/>
      <c r="BT4" s="201"/>
      <c r="BU4" s="201" t="s">
        <v>132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133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134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135</v>
      </c>
      <c r="AU5" s="201"/>
      <c r="AV5" s="201"/>
      <c r="AW5" s="201"/>
      <c r="AX5" s="201"/>
      <c r="AY5" s="201"/>
      <c r="AZ5" s="201"/>
      <c r="BA5" s="201"/>
      <c r="BB5" s="201"/>
      <c r="BC5" s="201" t="s">
        <v>136</v>
      </c>
      <c r="BD5" s="201"/>
      <c r="BE5" s="201"/>
      <c r="BF5" s="201"/>
      <c r="BG5" s="201"/>
      <c r="BH5" s="201"/>
      <c r="BI5" s="201"/>
      <c r="BJ5" s="201"/>
      <c r="BK5" s="201"/>
      <c r="BL5" s="201" t="s">
        <v>137</v>
      </c>
      <c r="BM5" s="201"/>
      <c r="BN5" s="201"/>
      <c r="BO5" s="201"/>
      <c r="BP5" s="201"/>
      <c r="BQ5" s="201"/>
      <c r="BR5" s="201"/>
      <c r="BS5" s="201"/>
      <c r="BT5" s="201"/>
      <c r="BU5" s="201" t="s">
        <v>138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135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139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140</v>
      </c>
      <c r="BD6" s="201"/>
      <c r="BE6" s="201"/>
      <c r="BF6" s="201"/>
      <c r="BG6" s="201"/>
      <c r="BH6" s="201"/>
      <c r="BI6" s="201"/>
      <c r="BJ6" s="201"/>
      <c r="BK6" s="201"/>
      <c r="BL6" s="201" t="s">
        <v>141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-685470.8300000131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-685470.8300000131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-144110366.02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-144110366.02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SUM('01.08.2016'!CH51:CW51)</f>
        <v>143424895.19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143424895.19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161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162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163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163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55" t="s">
        <v>321</v>
      </c>
      <c r="D30" s="255"/>
      <c r="E30" s="255"/>
      <c r="F30" s="25" t="s">
        <v>166</v>
      </c>
      <c r="G30" s="24"/>
      <c r="H30" s="255" t="s">
        <v>327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167</v>
      </c>
      <c r="V30" s="255" t="s">
        <v>213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2016-08-01T11:04:05Z</cp:lastPrinted>
  <dcterms:created xsi:type="dcterms:W3CDTF">2005-02-01T12:32:18Z</dcterms:created>
  <dcterms:modified xsi:type="dcterms:W3CDTF">2016-08-01T11:06:41Z</dcterms:modified>
  <cp:category/>
  <cp:version/>
  <cp:contentType/>
  <cp:contentStatus/>
</cp:coreProperties>
</file>