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10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<sst xmlns="http://schemas.openxmlformats.org/spreadsheetml/2006/main" count="882" uniqueCount="330">
  <si>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</si>
  <si>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</si>
  <si>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</si>
  <si>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</si>
  <si>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</si>
  <si>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</si>
  <si>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</si>
  <si>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</si>
  <si>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</si>
  <si>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</si>
  <si>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</si>
  <si>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</si>
  <si>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</si>
  <si>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</si>
  <si>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</si>
  <si>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</si>
  <si>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</si>
  <si>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</si>
  <si>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</si>
  <si>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</si>
  <si>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</si>
  <si>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</si>
  <si>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</si>
  <si>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</si>
  <si>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</si>
  <si>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</si>
  <si>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</si>
  <si>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</si>
  <si>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</si>
  <si>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</si>
  <si>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</si>
  <si>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</si>
  <si>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</si>
  <si>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</si>
  <si>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</si>
  <si>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</si>
  <si>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</si>
  <si>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</si>
  <si>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</si>
  <si>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</si>
  <si>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</si>
  <si>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</si>
  <si>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</si>
  <si>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</si>
  <si>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</si>
  <si>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</si>
  <si>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</si>
  <si>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</si>
  <si>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</si>
  <si>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</si>
  <si>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</si>
  <si>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</si>
  <si>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</si>
  <si>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</si>
  <si>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</si>
  <si>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</si>
  <si>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</si>
  <si>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</si>
  <si>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</si>
  <si>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</si>
  <si>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</si>
  <si>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</si>
  <si>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</si>
  <si>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</si>
  <si>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</si>
  <si>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</si>
  <si>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</si>
  <si>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</si>
  <si>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</si>
  <si>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</si>
  <si>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</si>
  <si>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</si>
  <si>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</si>
  <si>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</si>
  <si>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</si>
  <si>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</si>
  <si>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</si>
  <si>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</si>
  <si>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</si>
  <si>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</si>
  <si>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</si>
  <si>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</si>
  <si>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</si>
  <si>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</si>
  <si>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</si>
  <si>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</si>
  <si>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</si>
  <si>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</si>
  <si>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</si>
  <si>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</si>
  <si>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</si>
  <si>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</si>
  <si>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</si>
  <si>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</si>
  <si>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</si>
  <si>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</si>
  <si>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</si>
  <si>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</si>
  <si>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</si>
  <si>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</si>
  <si>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</si>
  <si>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</si>
  <si>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</si>
  <si>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</si>
  <si>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</si>
  <si>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</si>
  <si>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</si>
  <si>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</si>
  <si>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</si>
  <si>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</si>
  <si>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</si>
  <si>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</si>
  <si>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</si>
  <si>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</si>
  <si>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</si>
  <si>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</si>
  <si>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</si>
  <si>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</si>
  <si>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</si>
  <si>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</si>
  <si>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</si>
  <si>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</si>
  <si>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</si>
  <si>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</si>
  <si>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</si>
  <si>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</si>
  <si>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</si>
  <si>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</si>
  <si>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</si>
  <si>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</si>
  <si>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</si>
  <si>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</si>
  <si>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</si>
  <si>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</si>
  <si>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</si>
  <si>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</si>
  <si>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</si>
  <si>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</si>
  <si>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</si>
  <si>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</si>
  <si>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</si>
  <si>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</si>
  <si>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</si>
  <si>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</si>
  <si>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</si>
  <si>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</si>
  <si>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</si>
  <si>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</si>
  <si>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</si>
  <si>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</si>
  <si>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</si>
  <si>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</si>
  <si>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</si>
  <si>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</si>
  <si>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</si>
  <si>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</si>
  <si>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</si>
  <si>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</si>
  <si>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</si>
  <si>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</si>
  <si>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</si>
  <si>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</si>
  <si>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</si>
  <si>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</si>
  <si>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</si>
  <si>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</si>
  <si>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</si>
  <si>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</si>
  <si>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</si>
  <si>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</si>
  <si>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</si>
  <si>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</si>
  <si>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</si>
  <si>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</si>
  <si>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</si>
  <si>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</si>
  <si>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</si>
  <si>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</si>
  <si>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</si>
  <si>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</si>
  <si>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</si>
  <si>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</si>
  <si>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</si>
  <si>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</si>
  <si>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</si>
  <si>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</si>
  <si>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</si>
  <si>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</si>
  <si>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</si>
  <si>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</si>
  <si>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</si>
  <si>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</si>
  <si>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</si>
  <si>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</si>
  <si>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</si>
  <si>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</si>
  <si>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</si>
  <si>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</si>
  <si>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</si>
  <si>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</si>
  <si>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</si>
  <si>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</si>
  <si>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</si>
  <si>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</si>
  <si>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</si>
  <si>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</si>
  <si>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</si>
  <si>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</si>
  <si>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</si>
  <si>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</si>
  <si>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</si>
  <si>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</si>
  <si>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</si>
  <si>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</si>
  <si>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</si>
  <si>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</si>
  <si>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</si>
  <si>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</si>
  <si>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</si>
  <si>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</si>
  <si>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</si>
  <si>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</si>
  <si>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</si>
  <si>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</si>
  <si>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</si>
  <si>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</si>
  <si>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</si>
  <si>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</si>
  <si>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</si>
  <si>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</si>
  <si>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</si>
  <si>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</si>
  <si>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</si>
  <si>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</si>
  <si>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</si>
  <si>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</si>
  <si>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</si>
  <si>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</si>
  <si>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</si>
  <si>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</si>
  <si>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</si>
  <si>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</si>
  <si>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</si>
  <si>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</si>
  <si>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</si>
  <si>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</si>
  <si>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</si>
  <si>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</si>
  <si>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</si>
  <si>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</si>
  <si>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</si>
  <si>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</si>
  <si>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</si>
  <si>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</si>
  <si>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</si>
  <si>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</si>
  <si>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</si>
  <si>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</si>
  <si>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</si>
  <si>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</si>
  <si>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</si>
  <si>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</si>
  <si>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</si>
  <si>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</si>
  <si>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</si>
  <si>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</si>
  <si>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</si>
  <si>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</si>
  <si>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</si>
  <si>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</si>
  <si>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</si>
  <si>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</si>
  <si>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</si>
  <si>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</si>
  <si>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</si>
  <si>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</si>
  <si>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</si>
  <si>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</si>
  <si>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</si>
  <si>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</si>
  <si>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</si>
  <si>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</si>
  <si>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</si>
  <si>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</si>
  <si>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</si>
  <si>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</si>
  <si>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</si>
  <si>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</si>
  <si>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</si>
  <si>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</si>
  <si>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</si>
  <si>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</si>
  <si>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</si>
  <si>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</si>
  <si>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</si>
  <si>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</si>
  <si>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</si>
  <si>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</si>
  <si>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</si>
  <si>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</si>
  <si>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</si>
  <si>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</si>
  <si>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</si>
  <si>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</si>
  <si>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</si>
  <si>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</si>
  <si>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</si>
  <si>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</si>
  <si>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</si>
  <si>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</si>
  <si>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</si>
  <si>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</si>
  <si>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</si>
  <si>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</si>
  <si>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</si>
  <si>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</si>
  <si>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</si>
  <si>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</si>
  <si>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</si>
  <si>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>913.1004.04300R0840.000.16</t>
  </si>
  <si>
    <t>284</t>
  </si>
  <si>
    <t>913.1003.9910091100.321.11</t>
  </si>
  <si>
    <t xml:space="preserve"> на 1 октября</t>
  </si>
  <si>
    <t>01.10.2016</t>
  </si>
  <si>
    <t>213</t>
  </si>
  <si>
    <t>218</t>
  </si>
  <si>
    <t>248</t>
  </si>
  <si>
    <t>913.0705.0410000190.244.00</t>
  </si>
  <si>
    <t>03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</si>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</sst>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" fontId="10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1" fillId="0" borderId="26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10" fillId="0" borderId="26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10" fillId="0" borderId="29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indent="2"/>
    </xf>
    <xf numFmtId="0" fontId="1" fillId="0" borderId="36" xfId="0" applyFont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" fillId="0" borderId="4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4" fontId="8" fillId="0" borderId="50" xfId="0" applyNumberFormat="1" applyFont="1" applyFill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0" fillId="0" borderId="50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29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4"/>
  <sheetViews>
    <sheetView tabSelected="1" view="pageBreakPreview" zoomScale="120" zoomScaleSheetLayoutView="120" zoomScalePageLayoutView="0" workbookViewId="0" topLeftCell="AW3">
      <selection activeCell="BC68" sqref="BC68:BT68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</row>
    <row r="2" spans="1:166" ht="1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5" customHeight="1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39" t="s">
        <v>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41" t="s">
        <v>209</v>
      </c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</row>
    <row r="6" spans="147:166" ht="15" customHeight="1">
      <c r="EQ6" s="2" t="s">
        <v>1</v>
      </c>
      <c r="ET6" s="144" t="s">
        <v>21</v>
      </c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6"/>
    </row>
    <row r="7" spans="60:166" ht="15" customHeight="1">
      <c r="BH7" s="2" t="s">
        <v>2</v>
      </c>
      <c r="BJ7" s="148" t="s">
        <v>322</v>
      </c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9">
        <v>201</v>
      </c>
      <c r="CF7" s="149"/>
      <c r="CG7" s="149"/>
      <c r="CH7" s="149"/>
      <c r="CI7" s="149"/>
      <c r="CJ7" s="150">
        <v>6</v>
      </c>
      <c r="CK7" s="150"/>
      <c r="CM7" s="1" t="s">
        <v>3</v>
      </c>
      <c r="EQ7" s="2" t="s">
        <v>0</v>
      </c>
      <c r="ET7" s="136" t="s">
        <v>323</v>
      </c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8"/>
    </row>
    <row r="8" spans="1:166" ht="46.5" customHeight="1">
      <c r="A8" s="155" t="s">
        <v>50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1"/>
      <c r="BD8" s="11"/>
      <c r="BE8" s="11"/>
      <c r="BF8" s="11"/>
      <c r="BG8" s="11"/>
      <c r="BH8" s="11"/>
      <c r="BI8" s="11"/>
      <c r="BJ8" s="11"/>
      <c r="BK8" s="154" t="s">
        <v>55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Q8" s="2" t="s">
        <v>11</v>
      </c>
      <c r="ET8" s="161" t="s">
        <v>56</v>
      </c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3"/>
    </row>
    <row r="9" spans="1:166" ht="15" customHeight="1">
      <c r="A9" s="1" t="s">
        <v>4</v>
      </c>
      <c r="V9" s="150" t="s">
        <v>68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G9" s="157" t="s">
        <v>47</v>
      </c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T9" s="136" t="s">
        <v>57</v>
      </c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8"/>
    </row>
    <row r="10" spans="1:166" ht="15" customHeight="1">
      <c r="A10" s="1" t="s">
        <v>48</v>
      </c>
      <c r="P10" s="157" t="s">
        <v>206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G10" s="142" t="s">
        <v>205</v>
      </c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5"/>
      <c r="ET10" s="136" t="s">
        <v>196</v>
      </c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8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36" t="s">
        <v>43</v>
      </c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8"/>
    </row>
    <row r="12" spans="1:166" ht="21.75" customHeight="1" thickBot="1">
      <c r="A12" s="1" t="s">
        <v>5</v>
      </c>
      <c r="EQ12" s="2" t="s">
        <v>6</v>
      </c>
      <c r="ET12" s="151">
        <v>383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3"/>
    </row>
    <row r="13" ht="6" customHeight="1" hidden="1"/>
    <row r="14" spans="1:166" ht="14.25" customHeight="1">
      <c r="A14" s="139" t="s">
        <v>12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</row>
    <row r="15" ht="9" customHeight="1"/>
    <row r="16" spans="1:166" ht="11.25" customHeight="1">
      <c r="A16" s="130" t="s">
        <v>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 t="s">
        <v>15</v>
      </c>
      <c r="AO16" s="130"/>
      <c r="AP16" s="130"/>
      <c r="AQ16" s="130"/>
      <c r="AR16" s="130"/>
      <c r="AS16" s="130"/>
      <c r="AT16" s="117" t="s">
        <v>44</v>
      </c>
      <c r="AU16" s="118"/>
      <c r="AV16" s="118"/>
      <c r="AW16" s="118"/>
      <c r="AX16" s="118"/>
      <c r="AY16" s="118"/>
      <c r="AZ16" s="118"/>
      <c r="BA16" s="118"/>
      <c r="BB16" s="119"/>
      <c r="BC16" s="12"/>
      <c r="BD16" s="12"/>
      <c r="BE16" s="12"/>
      <c r="BF16" s="12"/>
      <c r="BG16" s="12"/>
      <c r="BH16" s="12"/>
      <c r="BI16" s="12"/>
      <c r="BJ16" s="12" t="s">
        <v>45</v>
      </c>
      <c r="BK16" s="117" t="s">
        <v>49</v>
      </c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9"/>
      <c r="CF16" s="127" t="s">
        <v>16</v>
      </c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9"/>
      <c r="ET16" s="130" t="s">
        <v>20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</row>
    <row r="17" spans="1:166" ht="57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20"/>
      <c r="AU17" s="121"/>
      <c r="AV17" s="121"/>
      <c r="AW17" s="121"/>
      <c r="AX17" s="121"/>
      <c r="AY17" s="121"/>
      <c r="AZ17" s="121"/>
      <c r="BA17" s="121"/>
      <c r="BB17" s="122"/>
      <c r="BC17" s="12"/>
      <c r="BD17" s="12"/>
      <c r="BE17" s="12"/>
      <c r="BF17" s="12"/>
      <c r="BG17" s="12"/>
      <c r="BH17" s="12"/>
      <c r="BI17" s="12"/>
      <c r="BJ17" s="12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8" t="s">
        <v>46</v>
      </c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9"/>
      <c r="CW17" s="127" t="s">
        <v>17</v>
      </c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27" t="s">
        <v>18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9"/>
      <c r="EE17" s="127" t="s">
        <v>19</v>
      </c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9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12" thickBot="1">
      <c r="A18" s="164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33">
        <v>2</v>
      </c>
      <c r="AO18" s="134"/>
      <c r="AP18" s="134"/>
      <c r="AQ18" s="134"/>
      <c r="AR18" s="134"/>
      <c r="AS18" s="135"/>
      <c r="AT18" s="133">
        <v>3</v>
      </c>
      <c r="AU18" s="134"/>
      <c r="AV18" s="134"/>
      <c r="AW18" s="134"/>
      <c r="AX18" s="134"/>
      <c r="AY18" s="134"/>
      <c r="AZ18" s="134"/>
      <c r="BA18" s="134"/>
      <c r="BB18" s="135"/>
      <c r="BC18" s="13"/>
      <c r="BD18" s="13"/>
      <c r="BE18" s="13"/>
      <c r="BF18" s="13"/>
      <c r="BG18" s="13"/>
      <c r="BH18" s="13"/>
      <c r="BI18" s="13"/>
      <c r="BJ18" s="13">
        <v>4</v>
      </c>
      <c r="BK18" s="133">
        <v>4</v>
      </c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5"/>
      <c r="CF18" s="133">
        <v>5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5"/>
      <c r="CW18" s="133">
        <v>6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>
        <v>7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3">
        <v>8</v>
      </c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5"/>
      <c r="ET18" s="167">
        <v>9</v>
      </c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</row>
    <row r="19" spans="1:166" ht="15" customHeight="1" thickBot="1">
      <c r="A19" s="168" t="s">
        <v>13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0" t="s">
        <v>22</v>
      </c>
      <c r="AO19" s="171"/>
      <c r="AP19" s="171"/>
      <c r="AQ19" s="171"/>
      <c r="AR19" s="171"/>
      <c r="AS19" s="171"/>
      <c r="AT19" s="172" t="s">
        <v>42</v>
      </c>
      <c r="AU19" s="173"/>
      <c r="AV19" s="173"/>
      <c r="AW19" s="173"/>
      <c r="AX19" s="173"/>
      <c r="AY19" s="173"/>
      <c r="AZ19" s="173"/>
      <c r="BA19" s="173"/>
      <c r="BB19" s="174"/>
      <c r="BC19" s="17"/>
      <c r="BD19" s="17"/>
      <c r="BE19" s="17"/>
      <c r="BF19" s="17"/>
      <c r="BG19" s="17"/>
      <c r="BH19" s="17"/>
      <c r="BI19" s="17"/>
      <c r="BJ19" s="17">
        <f>-CF19</f>
        <v>-183865393.48000002</v>
      </c>
      <c r="BK19" s="124">
        <f>SUM(BK20:CE32)</f>
        <v>232896400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6"/>
      <c r="CF19" s="77">
        <f>SUM(CF20:CV32)</f>
        <v>183865393.48000002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 t="s">
        <v>43</v>
      </c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 t="s">
        <v>43</v>
      </c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aca="true" t="shared" si="0" ref="EE19:EE30">SUM(CF19)</f>
        <v>183865393.48000002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83">
        <f aca="true" t="shared" si="1" ref="ET19:ET32">SUM(BK19-EE19)</f>
        <v>49031006.51999998</v>
      </c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4"/>
    </row>
    <row r="20" spans="1:166" ht="43.5" customHeight="1" thickBot="1">
      <c r="A20" s="175" t="s">
        <v>109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40" t="s">
        <v>22</v>
      </c>
      <c r="AO20" s="141"/>
      <c r="AP20" s="141"/>
      <c r="AQ20" s="141"/>
      <c r="AR20" s="141"/>
      <c r="AS20" s="141"/>
      <c r="AT20" s="66" t="s">
        <v>108</v>
      </c>
      <c r="AU20" s="67"/>
      <c r="AV20" s="67"/>
      <c r="AW20" s="67"/>
      <c r="AX20" s="67"/>
      <c r="AY20" s="67"/>
      <c r="AZ20" s="67"/>
      <c r="BA20" s="67"/>
      <c r="BB20" s="68"/>
      <c r="BC20" s="18"/>
      <c r="BD20" s="18"/>
      <c r="BE20" s="18"/>
      <c r="BF20" s="18"/>
      <c r="BG20" s="18"/>
      <c r="BH20" s="18"/>
      <c r="BI20" s="18"/>
      <c r="BJ20" s="19" t="s">
        <v>43</v>
      </c>
      <c r="BK20" s="69">
        <v>8789.7</v>
      </c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1"/>
      <c r="CF20" s="62">
        <v>8789.7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77">
        <f t="shared" si="0"/>
        <v>8789.7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83">
        <f t="shared" si="1"/>
        <v>0</v>
      </c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4"/>
    </row>
    <row r="21" spans="1:166" ht="43.5" customHeight="1" thickBot="1">
      <c r="A21" s="107" t="s">
        <v>292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N21" s="63" t="s">
        <v>22</v>
      </c>
      <c r="AO21" s="64"/>
      <c r="AP21" s="64"/>
      <c r="AQ21" s="64"/>
      <c r="AR21" s="64"/>
      <c r="AS21" s="65"/>
      <c r="AT21" s="66" t="s">
        <v>291</v>
      </c>
      <c r="AU21" s="67"/>
      <c r="AV21" s="67"/>
      <c r="AW21" s="67"/>
      <c r="AX21" s="67"/>
      <c r="AY21" s="67"/>
      <c r="AZ21" s="67"/>
      <c r="BA21" s="67"/>
      <c r="BB21" s="68"/>
      <c r="BC21" s="18"/>
      <c r="BD21" s="18"/>
      <c r="BE21" s="18"/>
      <c r="BF21" s="18"/>
      <c r="BG21" s="18"/>
      <c r="BH21" s="18"/>
      <c r="BI21" s="18"/>
      <c r="BJ21" s="20" t="s">
        <v>43</v>
      </c>
      <c r="BK21" s="69">
        <v>2130700</v>
      </c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1"/>
      <c r="CF21" s="62">
        <v>2024077.41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 t="s">
        <v>43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 t="s">
        <v>43</v>
      </c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77">
        <f>SUM(CF21)</f>
        <v>2024077.41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83">
        <f t="shared" si="1"/>
        <v>106622.59000000008</v>
      </c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4"/>
    </row>
    <row r="22" spans="1:166" ht="49.5" customHeight="1" thickBot="1">
      <c r="A22" s="107" t="s">
        <v>63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9"/>
      <c r="AN22" s="75" t="s">
        <v>22</v>
      </c>
      <c r="AO22" s="76"/>
      <c r="AP22" s="76"/>
      <c r="AQ22" s="76"/>
      <c r="AR22" s="76"/>
      <c r="AS22" s="76"/>
      <c r="AT22" s="66" t="s">
        <v>62</v>
      </c>
      <c r="AU22" s="67"/>
      <c r="AV22" s="67"/>
      <c r="AW22" s="67"/>
      <c r="AX22" s="67"/>
      <c r="AY22" s="67"/>
      <c r="AZ22" s="67"/>
      <c r="BA22" s="67"/>
      <c r="BB22" s="68"/>
      <c r="BC22" s="18"/>
      <c r="BD22" s="18"/>
      <c r="BE22" s="18"/>
      <c r="BF22" s="18"/>
      <c r="BG22" s="18"/>
      <c r="BH22" s="18"/>
      <c r="BI22" s="18"/>
      <c r="BJ22" s="20" t="s">
        <v>43</v>
      </c>
      <c r="BK22" s="69">
        <f>12606300+1944900+920300+1775200</f>
        <v>17246700</v>
      </c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1"/>
      <c r="CF22" s="62">
        <v>17246700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 t="s">
        <v>43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 t="s">
        <v>43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77">
        <f t="shared" si="0"/>
        <v>17246700</v>
      </c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83">
        <f t="shared" si="1"/>
        <v>0</v>
      </c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4"/>
    </row>
    <row r="23" spans="1:166" ht="72" customHeight="1" thickBot="1">
      <c r="A23" s="107" t="s">
        <v>202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9"/>
      <c r="AN23" s="75" t="s">
        <v>22</v>
      </c>
      <c r="AO23" s="76"/>
      <c r="AP23" s="76"/>
      <c r="AQ23" s="76"/>
      <c r="AR23" s="76"/>
      <c r="AS23" s="76"/>
      <c r="AT23" s="66" t="s">
        <v>201</v>
      </c>
      <c r="AU23" s="67"/>
      <c r="AV23" s="67"/>
      <c r="AW23" s="67"/>
      <c r="AX23" s="67"/>
      <c r="AY23" s="67"/>
      <c r="AZ23" s="67"/>
      <c r="BA23" s="67"/>
      <c r="BB23" s="68"/>
      <c r="BC23" s="18"/>
      <c r="BD23" s="18"/>
      <c r="BE23" s="18"/>
      <c r="BF23" s="18"/>
      <c r="BG23" s="18"/>
      <c r="BH23" s="18"/>
      <c r="BI23" s="18"/>
      <c r="BJ23" s="20" t="s">
        <v>43</v>
      </c>
      <c r="BK23" s="69">
        <f>1111900+12500</f>
        <v>1124400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1"/>
      <c r="CF23" s="62">
        <v>1124371.63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 t="s">
        <v>43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 t="s">
        <v>43</v>
      </c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77">
        <f>SUM(CF23)</f>
        <v>1124371.63</v>
      </c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83">
        <f>SUM(BK23-EE23)</f>
        <v>28.37000000011176</v>
      </c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4"/>
    </row>
    <row r="24" spans="1:166" ht="70.5" customHeight="1" thickBot="1">
      <c r="A24" s="107" t="s">
        <v>64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9"/>
      <c r="AN24" s="75" t="s">
        <v>22</v>
      </c>
      <c r="AO24" s="76"/>
      <c r="AP24" s="76"/>
      <c r="AQ24" s="76"/>
      <c r="AR24" s="76"/>
      <c r="AS24" s="76"/>
      <c r="AT24" s="66" t="s">
        <v>65</v>
      </c>
      <c r="AU24" s="67"/>
      <c r="AV24" s="67"/>
      <c r="AW24" s="67"/>
      <c r="AX24" s="67"/>
      <c r="AY24" s="67"/>
      <c r="AZ24" s="67"/>
      <c r="BA24" s="67"/>
      <c r="BB24" s="68"/>
      <c r="BC24" s="18"/>
      <c r="BD24" s="18"/>
      <c r="BE24" s="18"/>
      <c r="BF24" s="18"/>
      <c r="BG24" s="18"/>
      <c r="BH24" s="18"/>
      <c r="BI24" s="18"/>
      <c r="BJ24" s="20" t="s">
        <v>43</v>
      </c>
      <c r="BK24" s="69">
        <v>13700</v>
      </c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1"/>
      <c r="CF24" s="62">
        <v>6543.74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 t="s">
        <v>43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 t="s">
        <v>43</v>
      </c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83">
        <f t="shared" si="0"/>
        <v>6543.74</v>
      </c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>
        <f t="shared" si="1"/>
        <v>7156.26</v>
      </c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4"/>
    </row>
    <row r="25" spans="1:166" ht="57" customHeight="1" thickBot="1">
      <c r="A25" s="107" t="s">
        <v>60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131" t="s">
        <v>22</v>
      </c>
      <c r="AO25" s="132"/>
      <c r="AP25" s="132"/>
      <c r="AQ25" s="132"/>
      <c r="AR25" s="132"/>
      <c r="AS25" s="132"/>
      <c r="AT25" s="66" t="s">
        <v>58</v>
      </c>
      <c r="AU25" s="67"/>
      <c r="AV25" s="67"/>
      <c r="AW25" s="67"/>
      <c r="AX25" s="67"/>
      <c r="AY25" s="67"/>
      <c r="AZ25" s="67"/>
      <c r="BA25" s="67"/>
      <c r="BB25" s="68"/>
      <c r="BC25" s="18"/>
      <c r="BD25" s="18"/>
      <c r="BE25" s="18"/>
      <c r="BF25" s="18"/>
      <c r="BG25" s="18"/>
      <c r="BH25" s="18"/>
      <c r="BI25" s="18"/>
      <c r="BJ25" s="20" t="s">
        <v>43</v>
      </c>
      <c r="BK25" s="69">
        <v>337300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1"/>
      <c r="CF25" s="62">
        <v>196228.41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 t="s">
        <v>43</v>
      </c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 t="s">
        <v>43</v>
      </c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178">
        <f t="shared" si="0"/>
        <v>196228.41</v>
      </c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83">
        <f t="shared" si="1"/>
        <v>141071.59</v>
      </c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4"/>
    </row>
    <row r="26" spans="1:166" ht="45.75" customHeight="1" thickBot="1">
      <c r="A26" s="107" t="s">
        <v>61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9"/>
      <c r="AN26" s="131" t="s">
        <v>22</v>
      </c>
      <c r="AO26" s="132"/>
      <c r="AP26" s="132"/>
      <c r="AQ26" s="132"/>
      <c r="AR26" s="132"/>
      <c r="AS26" s="132"/>
      <c r="AT26" s="66" t="s">
        <v>59</v>
      </c>
      <c r="AU26" s="67"/>
      <c r="AV26" s="67"/>
      <c r="AW26" s="67"/>
      <c r="AX26" s="67"/>
      <c r="AY26" s="67"/>
      <c r="AZ26" s="67"/>
      <c r="BA26" s="67"/>
      <c r="BB26" s="68"/>
      <c r="BC26" s="18"/>
      <c r="BD26" s="18"/>
      <c r="BE26" s="18"/>
      <c r="BF26" s="18"/>
      <c r="BG26" s="18"/>
      <c r="BH26" s="18"/>
      <c r="BI26" s="18"/>
      <c r="BJ26" s="20" t="s">
        <v>43</v>
      </c>
      <c r="BK26" s="69">
        <f>8060900-99700</f>
        <v>7961200</v>
      </c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1"/>
      <c r="CF26" s="62">
        <v>7406132.87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 t="s">
        <v>43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 t="s">
        <v>43</v>
      </c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77">
        <f t="shared" si="0"/>
        <v>7406132.87</v>
      </c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83">
        <f t="shared" si="1"/>
        <v>555067.1299999999</v>
      </c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4"/>
    </row>
    <row r="27" spans="1:166" ht="45.75" customHeight="1" thickBot="1">
      <c r="A27" s="107" t="s">
        <v>119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63" t="s">
        <v>22</v>
      </c>
      <c r="AO27" s="64"/>
      <c r="AP27" s="64"/>
      <c r="AQ27" s="64"/>
      <c r="AR27" s="64"/>
      <c r="AS27" s="65"/>
      <c r="AT27" s="66" t="s">
        <v>112</v>
      </c>
      <c r="AU27" s="67"/>
      <c r="AV27" s="67"/>
      <c r="AW27" s="67"/>
      <c r="AX27" s="67"/>
      <c r="AY27" s="67"/>
      <c r="AZ27" s="67"/>
      <c r="BA27" s="67"/>
      <c r="BB27" s="68"/>
      <c r="BC27" s="18"/>
      <c r="BD27" s="18"/>
      <c r="BE27" s="18"/>
      <c r="BF27" s="18"/>
      <c r="BG27" s="18"/>
      <c r="BH27" s="18"/>
      <c r="BI27" s="18"/>
      <c r="BJ27" s="20" t="s">
        <v>43</v>
      </c>
      <c r="BK27" s="69">
        <f>165892000-57200+4026500+84400+237800+117800+4620600</f>
        <v>174921900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1"/>
      <c r="CF27" s="62">
        <v>133378034.51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 t="s">
        <v>43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 t="s">
        <v>43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77">
        <f t="shared" si="0"/>
        <v>133378034.51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83">
        <f>SUM(BK27-EE27)</f>
        <v>41543865.489999995</v>
      </c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4"/>
    </row>
    <row r="28" spans="1:166" ht="82.5" customHeight="1" thickBot="1">
      <c r="A28" s="107" t="s">
        <v>66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9"/>
      <c r="AN28" s="63" t="s">
        <v>22</v>
      </c>
      <c r="AO28" s="64"/>
      <c r="AP28" s="64"/>
      <c r="AQ28" s="64"/>
      <c r="AR28" s="64"/>
      <c r="AS28" s="65"/>
      <c r="AT28" s="66" t="s">
        <v>67</v>
      </c>
      <c r="AU28" s="67"/>
      <c r="AV28" s="67"/>
      <c r="AW28" s="67"/>
      <c r="AX28" s="67"/>
      <c r="AY28" s="67"/>
      <c r="AZ28" s="67"/>
      <c r="BA28" s="67"/>
      <c r="BB28" s="68"/>
      <c r="BC28" s="18"/>
      <c r="BD28" s="18"/>
      <c r="BE28" s="18"/>
      <c r="BF28" s="18"/>
      <c r="BG28" s="18"/>
      <c r="BH28" s="18"/>
      <c r="BI28" s="18"/>
      <c r="BJ28" s="20" t="s">
        <v>43</v>
      </c>
      <c r="BK28" s="69">
        <v>265400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1"/>
      <c r="CF28" s="62">
        <v>106575.81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 t="s">
        <v>43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 t="s">
        <v>43</v>
      </c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77">
        <f t="shared" si="0"/>
        <v>106575.81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83">
        <f>SUM(BK28-EE28)</f>
        <v>158824.19</v>
      </c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4"/>
    </row>
    <row r="29" spans="1:166" ht="82.5" customHeight="1" thickBot="1">
      <c r="A29" s="107" t="s">
        <v>199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/>
      <c r="AN29" s="63" t="s">
        <v>22</v>
      </c>
      <c r="AO29" s="64"/>
      <c r="AP29" s="64"/>
      <c r="AQ29" s="64"/>
      <c r="AR29" s="64"/>
      <c r="AS29" s="65"/>
      <c r="AT29" s="66" t="s">
        <v>200</v>
      </c>
      <c r="AU29" s="67"/>
      <c r="AV29" s="67"/>
      <c r="AW29" s="67"/>
      <c r="AX29" s="67"/>
      <c r="AY29" s="67"/>
      <c r="AZ29" s="67"/>
      <c r="BA29" s="67"/>
      <c r="BB29" s="68"/>
      <c r="BC29" s="18"/>
      <c r="BD29" s="18"/>
      <c r="BE29" s="18"/>
      <c r="BF29" s="18"/>
      <c r="BG29" s="18"/>
      <c r="BH29" s="18"/>
      <c r="BI29" s="18"/>
      <c r="BJ29" s="20" t="s">
        <v>43</v>
      </c>
      <c r="BK29" s="69">
        <v>8252300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  <c r="CF29" s="62">
        <v>6302738.61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 t="s">
        <v>43</v>
      </c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 t="s">
        <v>43</v>
      </c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77">
        <f>SUM(CF29)</f>
        <v>6302738.61</v>
      </c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83">
        <f>SUM(BK29-EE29)</f>
        <v>1949561.3899999997</v>
      </c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4"/>
    </row>
    <row r="30" spans="1:166" ht="103.5" customHeight="1" thickBot="1">
      <c r="A30" s="107" t="s">
        <v>168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63" t="s">
        <v>22</v>
      </c>
      <c r="AO30" s="64"/>
      <c r="AP30" s="64"/>
      <c r="AQ30" s="64"/>
      <c r="AR30" s="64"/>
      <c r="AS30" s="65"/>
      <c r="AT30" s="66" t="s">
        <v>167</v>
      </c>
      <c r="AU30" s="67"/>
      <c r="AV30" s="67"/>
      <c r="AW30" s="67"/>
      <c r="AX30" s="67"/>
      <c r="AY30" s="67"/>
      <c r="AZ30" s="67"/>
      <c r="BA30" s="67"/>
      <c r="BB30" s="68"/>
      <c r="BC30" s="18"/>
      <c r="BD30" s="18"/>
      <c r="BE30" s="18"/>
      <c r="BF30" s="18"/>
      <c r="BG30" s="18"/>
      <c r="BH30" s="18"/>
      <c r="BI30" s="18"/>
      <c r="BJ30" s="20" t="s">
        <v>43</v>
      </c>
      <c r="BK30" s="69">
        <v>19777800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  <c r="CF30" s="62">
        <v>15395429.23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 t="s">
        <v>43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 t="s">
        <v>43</v>
      </c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77">
        <f t="shared" si="0"/>
        <v>15395429.23</v>
      </c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83">
        <f>SUM(BK30-EE30)</f>
        <v>4382370.77</v>
      </c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4"/>
    </row>
    <row r="31" spans="1:166" ht="72.75" customHeight="1" thickBot="1">
      <c r="A31" s="107" t="s">
        <v>208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  <c r="AN31" s="63" t="s">
        <v>22</v>
      </c>
      <c r="AO31" s="64"/>
      <c r="AP31" s="64"/>
      <c r="AQ31" s="64"/>
      <c r="AR31" s="64"/>
      <c r="AS31" s="65"/>
      <c r="AT31" s="66" t="s">
        <v>207</v>
      </c>
      <c r="AU31" s="67"/>
      <c r="AV31" s="67"/>
      <c r="AW31" s="67"/>
      <c r="AX31" s="67"/>
      <c r="AY31" s="67"/>
      <c r="AZ31" s="67"/>
      <c r="BA31" s="67"/>
      <c r="BB31" s="68"/>
      <c r="BC31" s="18"/>
      <c r="BD31" s="18"/>
      <c r="BE31" s="18"/>
      <c r="BF31" s="18"/>
      <c r="BG31" s="18"/>
      <c r="BH31" s="18"/>
      <c r="BI31" s="18"/>
      <c r="BJ31" s="20" t="s">
        <v>43</v>
      </c>
      <c r="BK31" s="69">
        <v>865000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1"/>
      <c r="CF31" s="62">
        <v>678561.26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 t="s">
        <v>43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 t="s">
        <v>43</v>
      </c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77">
        <f>SUM(CF31)</f>
        <v>678561.26</v>
      </c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83">
        <f>SUM(BK31-EE31)</f>
        <v>186438.74</v>
      </c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4"/>
    </row>
    <row r="32" spans="1:166" ht="51.75" customHeight="1">
      <c r="A32" s="107" t="s">
        <v>111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9"/>
      <c r="AN32" s="63" t="s">
        <v>22</v>
      </c>
      <c r="AO32" s="64"/>
      <c r="AP32" s="64"/>
      <c r="AQ32" s="64"/>
      <c r="AR32" s="64"/>
      <c r="AS32" s="65"/>
      <c r="AT32" s="66" t="s">
        <v>110</v>
      </c>
      <c r="AU32" s="67"/>
      <c r="AV32" s="67"/>
      <c r="AW32" s="67"/>
      <c r="AX32" s="67"/>
      <c r="AY32" s="67"/>
      <c r="AZ32" s="67"/>
      <c r="BA32" s="67"/>
      <c r="BB32" s="68"/>
      <c r="BC32" s="18"/>
      <c r="BD32" s="18"/>
      <c r="BE32" s="18"/>
      <c r="BF32" s="18"/>
      <c r="BG32" s="18"/>
      <c r="BH32" s="18"/>
      <c r="BI32" s="18"/>
      <c r="BJ32" s="20" t="s">
        <v>43</v>
      </c>
      <c r="BK32" s="69">
        <v>-8789.7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1"/>
      <c r="CF32" s="62">
        <v>-8789.7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 t="s">
        <v>43</v>
      </c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 t="s">
        <v>43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>
        <f>SUM(CF32)</f>
        <v>-8789.7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83">
        <f t="shared" si="1"/>
        <v>0</v>
      </c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4"/>
    </row>
    <row r="33" spans="1:166" ht="15" customHeight="1">
      <c r="A33" s="105" t="s">
        <v>43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75" t="s">
        <v>43</v>
      </c>
      <c r="AO33" s="76"/>
      <c r="AP33" s="76"/>
      <c r="AQ33" s="76"/>
      <c r="AR33" s="76"/>
      <c r="AS33" s="76"/>
      <c r="AT33" s="66" t="s">
        <v>43</v>
      </c>
      <c r="AU33" s="67"/>
      <c r="AV33" s="67"/>
      <c r="AW33" s="67"/>
      <c r="AX33" s="67"/>
      <c r="AY33" s="67"/>
      <c r="AZ33" s="67"/>
      <c r="BA33" s="67"/>
      <c r="BB33" s="68"/>
      <c r="BC33" s="18"/>
      <c r="BD33" s="18"/>
      <c r="BE33" s="18"/>
      <c r="BF33" s="18"/>
      <c r="BG33" s="18"/>
      <c r="BH33" s="18"/>
      <c r="BI33" s="18"/>
      <c r="BJ33" s="20" t="s">
        <v>43</v>
      </c>
      <c r="BK33" s="91" t="s">
        <v>43</v>
      </c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3"/>
      <c r="CF33" s="86" t="s">
        <v>43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 t="s">
        <v>43</v>
      </c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 t="s">
        <v>43</v>
      </c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 t="s">
        <v>43</v>
      </c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 t="s">
        <v>43</v>
      </c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7"/>
    </row>
    <row r="34" spans="1:166" ht="15" customHeight="1">
      <c r="A34" s="105" t="s">
        <v>43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75" t="s">
        <v>43</v>
      </c>
      <c r="AO34" s="76"/>
      <c r="AP34" s="76"/>
      <c r="AQ34" s="76"/>
      <c r="AR34" s="76"/>
      <c r="AS34" s="76"/>
      <c r="AT34" s="66" t="s">
        <v>43</v>
      </c>
      <c r="AU34" s="67"/>
      <c r="AV34" s="67"/>
      <c r="AW34" s="67"/>
      <c r="AX34" s="67"/>
      <c r="AY34" s="67"/>
      <c r="AZ34" s="67"/>
      <c r="BA34" s="67"/>
      <c r="BB34" s="68"/>
      <c r="BC34" s="18"/>
      <c r="BD34" s="18"/>
      <c r="BE34" s="18"/>
      <c r="BF34" s="18"/>
      <c r="BG34" s="18"/>
      <c r="BH34" s="18"/>
      <c r="BI34" s="18"/>
      <c r="BJ34" s="20" t="s">
        <v>43</v>
      </c>
      <c r="BK34" s="91" t="s">
        <v>43</v>
      </c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3"/>
      <c r="CF34" s="86" t="s">
        <v>43</v>
      </c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 t="s">
        <v>43</v>
      </c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 t="s">
        <v>43</v>
      </c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 t="s">
        <v>43</v>
      </c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 t="s">
        <v>43</v>
      </c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7"/>
    </row>
    <row r="35" spans="1:166" ht="15" customHeight="1">
      <c r="A35" s="105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75" t="s">
        <v>43</v>
      </c>
      <c r="AO35" s="76"/>
      <c r="AP35" s="76"/>
      <c r="AQ35" s="76"/>
      <c r="AR35" s="76"/>
      <c r="AS35" s="76"/>
      <c r="AT35" s="66" t="s">
        <v>43</v>
      </c>
      <c r="AU35" s="67"/>
      <c r="AV35" s="67"/>
      <c r="AW35" s="67"/>
      <c r="AX35" s="67"/>
      <c r="AY35" s="67"/>
      <c r="AZ35" s="67"/>
      <c r="BA35" s="67"/>
      <c r="BB35" s="68"/>
      <c r="BC35" s="18"/>
      <c r="BD35" s="18"/>
      <c r="BE35" s="18"/>
      <c r="BF35" s="18"/>
      <c r="BG35" s="18"/>
      <c r="BH35" s="18"/>
      <c r="BI35" s="18"/>
      <c r="BJ35" s="20" t="s">
        <v>43</v>
      </c>
      <c r="BK35" s="91" t="s">
        <v>43</v>
      </c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3"/>
      <c r="CF35" s="86" t="s">
        <v>43</v>
      </c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 t="s">
        <v>43</v>
      </c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 t="s">
        <v>43</v>
      </c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 t="s">
        <v>43</v>
      </c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 t="s">
        <v>43</v>
      </c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7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99" t="s">
        <v>70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</row>
    <row r="48" spans="1:166" ht="15" customHeight="1">
      <c r="A48" s="100" t="s">
        <v>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K48" s="111" t="s">
        <v>15</v>
      </c>
      <c r="AL48" s="100"/>
      <c r="AM48" s="100"/>
      <c r="AN48" s="100"/>
      <c r="AO48" s="100"/>
      <c r="AP48" s="101"/>
      <c r="AQ48" s="117" t="s">
        <v>71</v>
      </c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9"/>
      <c r="BC48" s="111" t="s">
        <v>72</v>
      </c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11" t="s">
        <v>73</v>
      </c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1"/>
      <c r="CH48" s="72" t="s">
        <v>16</v>
      </c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4"/>
      <c r="EK48" s="72" t="s">
        <v>74</v>
      </c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</row>
    <row r="49" spans="1:166" ht="69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02"/>
      <c r="AK49" s="97"/>
      <c r="AL49" s="98"/>
      <c r="AM49" s="98"/>
      <c r="AN49" s="98"/>
      <c r="AO49" s="98"/>
      <c r="AP49" s="102"/>
      <c r="AQ49" s="120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  <c r="BC49" s="97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102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102"/>
      <c r="CH49" s="128" t="s">
        <v>75</v>
      </c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9"/>
      <c r="CX49" s="72" t="s">
        <v>17</v>
      </c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4"/>
      <c r="DK49" s="72" t="s">
        <v>18</v>
      </c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4"/>
      <c r="DX49" s="72" t="s">
        <v>19</v>
      </c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97" t="s">
        <v>76</v>
      </c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102"/>
      <c r="EX49" s="97" t="s">
        <v>77</v>
      </c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</row>
    <row r="50" spans="1:166" ht="15" customHeight="1" thickBot="1">
      <c r="A50" s="181">
        <v>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14">
        <v>2</v>
      </c>
      <c r="AL50" s="115"/>
      <c r="AM50" s="115"/>
      <c r="AN50" s="115"/>
      <c r="AO50" s="115"/>
      <c r="AP50" s="116"/>
      <c r="AQ50" s="114">
        <v>3</v>
      </c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6"/>
      <c r="BC50" s="114">
        <v>4</v>
      </c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6"/>
      <c r="BU50" s="114">
        <v>5</v>
      </c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6"/>
      <c r="CH50" s="114">
        <v>6</v>
      </c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114">
        <v>7</v>
      </c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6"/>
      <c r="DK50" s="114">
        <v>8</v>
      </c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6"/>
      <c r="DX50" s="114">
        <v>9</v>
      </c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6"/>
      <c r="EK50" s="114">
        <v>10</v>
      </c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4">
        <v>11</v>
      </c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</row>
    <row r="51" spans="1:166" ht="15" customHeight="1" thickBot="1">
      <c r="A51" s="123" t="s">
        <v>78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79" t="s">
        <v>79</v>
      </c>
      <c r="AL51" s="180"/>
      <c r="AM51" s="180"/>
      <c r="AN51" s="180"/>
      <c r="AO51" s="180"/>
      <c r="AP51" s="180"/>
      <c r="AQ51" s="54" t="s">
        <v>33</v>
      </c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>
        <f>SUM(BC53+BC59+BC116+BC58+BC119+BC54+BC57+BC55+BC70+BC56+BC69+BC63+BC66+BC67+BC76+BC68+BC79+BC83+BC84+BC88+BC92+BC95+BC98+BC73+BC110+BC125+BC101+BC104+BC107+BC113+BC120+BC121+BC122+BC126+BC130+BC131)</f>
        <v>236201400</v>
      </c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>
        <f>SUM(BC51)</f>
        <v>236201400</v>
      </c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>
        <f>SUM(CH53+CH59+CH58+CH63+CH66+CH67+CH76+CH79+CH54+CH70+CH55+CH56+CH57+CH110+CH83+CH69+CH68+CH119+CH73+CH125+CH84+CH116+CH88+CH92+CH95+CH98++CH101+CH104+CH107+CH113+CH120+CH121+CH122+CH126+CH130+CH131)</f>
        <v>184975243.18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 t="s">
        <v>43</v>
      </c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 t="s">
        <v>43</v>
      </c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>
        <f>SUM(CH51)</f>
        <v>184975243.18</v>
      </c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>
        <f>SUM(EK53+EK59+EK63+EK66+EK67+EK76+EK79+EK83+EK70+EK84+EK88+EK92+EK95+EK98+EK73+EK101+EK104+EK107+EK113+EK120+EK121+EK122+EK126+EK110+EK130+EK131)</f>
        <v>0</v>
      </c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>
        <f>SUM(BU51-DX51)</f>
        <v>51226156.81999999</v>
      </c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90"/>
    </row>
    <row r="52" spans="1:166" ht="15" customHeight="1" thickBot="1">
      <c r="A52" s="110" t="s">
        <v>14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2"/>
      <c r="AL52" s="113"/>
      <c r="AM52" s="113"/>
      <c r="AN52" s="113"/>
      <c r="AO52" s="113"/>
      <c r="AP52" s="113"/>
      <c r="AQ52" s="48" t="s">
        <v>33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 t="s">
        <v>43</v>
      </c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54" t="s">
        <v>43</v>
      </c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48" t="s">
        <v>43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 t="s">
        <v>43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 t="s">
        <v>43</v>
      </c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54" t="s">
        <v>43</v>
      </c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48" t="s">
        <v>43</v>
      </c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54" t="s">
        <v>43</v>
      </c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90"/>
    </row>
    <row r="53" spans="1:166" ht="25.5" customHeight="1" thickBot="1">
      <c r="A53" s="103" t="s">
        <v>294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4"/>
      <c r="AK53" s="40" t="s">
        <v>106</v>
      </c>
      <c r="AL53" s="41"/>
      <c r="AM53" s="41"/>
      <c r="AN53" s="41"/>
      <c r="AO53" s="41"/>
      <c r="AP53" s="42"/>
      <c r="AQ53" s="57" t="s">
        <v>214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44">
        <v>17200</v>
      </c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57">
        <f aca="true" t="shared" si="2" ref="BU53:BU58">SUM(BC53)</f>
        <v>17200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44">
        <f>4445+4354</f>
        <v>8799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 t="s">
        <v>43</v>
      </c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 t="s">
        <v>43</v>
      </c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57">
        <f>SUM(CH53)</f>
        <v>8799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44">
        <v>0</v>
      </c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57">
        <f aca="true" t="shared" si="3" ref="EX53:EX58">SUM(BU53-DX53)</f>
        <v>8401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81"/>
    </row>
    <row r="54" spans="1:166" ht="41.25" customHeight="1" thickBot="1">
      <c r="A54" s="103" t="s">
        <v>293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4"/>
      <c r="AK54" s="40" t="s">
        <v>80</v>
      </c>
      <c r="AL54" s="41"/>
      <c r="AM54" s="41"/>
      <c r="AN54" s="41"/>
      <c r="AO54" s="41"/>
      <c r="AP54" s="42"/>
      <c r="AQ54" s="57" t="s">
        <v>213</v>
      </c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44">
        <v>5600</v>
      </c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57">
        <f t="shared" si="2"/>
        <v>5600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44">
        <v>0</v>
      </c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 t="s">
        <v>43</v>
      </c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 t="s">
        <v>43</v>
      </c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57">
        <f>SUM(CH54)</f>
        <v>0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44">
        <v>0</v>
      </c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57">
        <f t="shared" si="3"/>
        <v>5600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81"/>
    </row>
    <row r="55" spans="1:166" ht="35.25" customHeight="1" thickBot="1">
      <c r="A55" s="103" t="s">
        <v>293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4"/>
      <c r="AK55" s="40" t="s">
        <v>306</v>
      </c>
      <c r="AL55" s="41"/>
      <c r="AM55" s="41"/>
      <c r="AN55" s="41"/>
      <c r="AO55" s="41"/>
      <c r="AP55" s="42"/>
      <c r="AQ55" s="57" t="s">
        <v>215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44">
        <v>3800</v>
      </c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57">
        <f t="shared" si="2"/>
        <v>3800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44">
        <v>0</v>
      </c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 t="s">
        <v>43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 t="s">
        <v>43</v>
      </c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57">
        <f>SUM(CH55)</f>
        <v>0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44">
        <v>0</v>
      </c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57">
        <f t="shared" si="3"/>
        <v>3800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81"/>
    </row>
    <row r="56" spans="1:166" ht="43.5" customHeight="1">
      <c r="A56" s="103" t="s">
        <v>293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4"/>
      <c r="AK56" s="40" t="s">
        <v>113</v>
      </c>
      <c r="AL56" s="41"/>
      <c r="AM56" s="41"/>
      <c r="AN56" s="41"/>
      <c r="AO56" s="41"/>
      <c r="AP56" s="42"/>
      <c r="AQ56" s="57" t="s">
        <v>216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44">
        <v>1800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57">
        <f t="shared" si="2"/>
        <v>1800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44">
        <v>0</v>
      </c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 t="s">
        <v>43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 t="s">
        <v>43</v>
      </c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57">
        <f>SUM(CH56)</f>
        <v>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44">
        <v>0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57">
        <f t="shared" si="3"/>
        <v>1800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81"/>
    </row>
    <row r="57" spans="1:166" ht="43.5" customHeight="1">
      <c r="A57" s="103" t="s">
        <v>295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4"/>
      <c r="AK57" s="40" t="s">
        <v>81</v>
      </c>
      <c r="AL57" s="41"/>
      <c r="AM57" s="41"/>
      <c r="AN57" s="41"/>
      <c r="AO57" s="41"/>
      <c r="AP57" s="42"/>
      <c r="AQ57" s="96" t="s">
        <v>327</v>
      </c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37">
        <v>10805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>
        <f t="shared" si="2"/>
        <v>10805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>
        <v>0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 t="s">
        <v>43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>
        <f>CH57</f>
        <v>0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>
        <v>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>
        <f t="shared" si="3"/>
        <v>10805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</row>
    <row r="58" spans="1:166" ht="39" customHeight="1" thickBot="1">
      <c r="A58" s="103" t="s">
        <v>295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4"/>
      <c r="AK58" s="40" t="s">
        <v>107</v>
      </c>
      <c r="AL58" s="41"/>
      <c r="AM58" s="41"/>
      <c r="AN58" s="41"/>
      <c r="AO58" s="41"/>
      <c r="AP58" s="42"/>
      <c r="AQ58" s="96" t="s">
        <v>217</v>
      </c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37">
        <f>303100+18685+143400</f>
        <v>465185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>
        <f t="shared" si="2"/>
        <v>465185</v>
      </c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>
        <f>18000+48000+84405.13+119717.38+104500+56421.25</f>
        <v>431043.76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 t="s">
        <v>43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 t="s">
        <v>43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>
        <f>CH58</f>
        <v>431043.76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>
        <v>0</v>
      </c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>
        <f t="shared" si="3"/>
        <v>34141.23999999999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</row>
    <row r="59" spans="1:166" ht="15" customHeight="1" thickBo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2" t="s">
        <v>82</v>
      </c>
      <c r="AL59" s="113"/>
      <c r="AM59" s="113"/>
      <c r="AN59" s="113"/>
      <c r="AO59" s="113"/>
      <c r="AP59" s="113"/>
      <c r="AQ59" s="44" t="s">
        <v>218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>
        <f>SUM(BC60:BT62)</f>
        <v>6044800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57">
        <f>SUM(BU60:CG62)</f>
        <v>6044800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44">
        <f>SUM(CH60:CW62)</f>
        <v>6044545.92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 t="s">
        <v>43</v>
      </c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 t="s">
        <v>43</v>
      </c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57">
        <f>SUM(DX60:EJ62)</f>
        <v>6044545.92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44">
        <f>SUM(EK60:EW62)</f>
        <v>0</v>
      </c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57">
        <f>SUM(EX60:FJ62)</f>
        <v>254.0799999996225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81"/>
    </row>
    <row r="60" spans="1:166" ht="40.5" customHeight="1" thickBot="1">
      <c r="A60" s="88" t="s">
        <v>293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40" t="s">
        <v>83</v>
      </c>
      <c r="AL60" s="41"/>
      <c r="AM60" s="41"/>
      <c r="AN60" s="41"/>
      <c r="AO60" s="41"/>
      <c r="AP60" s="42"/>
      <c r="AQ60" s="48" t="s">
        <v>219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>
        <f>5300+53-1627</f>
        <v>3726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54">
        <f>SUM(BC60)</f>
        <v>3726</v>
      </c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48">
        <f>76.54+112.08+398.24+312.34+1624.16+757.13+442.65</f>
        <v>3723.1400000000003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 t="s">
        <v>43</v>
      </c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 t="s">
        <v>43</v>
      </c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54">
        <f>SUM(CH60:DW60)</f>
        <v>3723.1400000000003</v>
      </c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48">
        <v>0</v>
      </c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54">
        <f>SUM(BC60-DX60)</f>
        <v>2.8599999999996726</v>
      </c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90"/>
    </row>
    <row r="61" spans="1:166" ht="36" customHeight="1" thickBot="1">
      <c r="A61" s="52" t="s">
        <v>296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40" t="s">
        <v>84</v>
      </c>
      <c r="AL61" s="41"/>
      <c r="AM61" s="41"/>
      <c r="AN61" s="41"/>
      <c r="AO61" s="41"/>
      <c r="AP61" s="42"/>
      <c r="AQ61" s="48" t="s">
        <v>220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1"/>
      <c r="BC61" s="82">
        <f>550000+1852-167773</f>
        <v>384079</v>
      </c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1"/>
      <c r="BU61" s="78">
        <f>SUM(BC61)</f>
        <v>384079</v>
      </c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80"/>
      <c r="CH61" s="82">
        <f>7890.4+11554.34+41055.58+32200+167439.06+78054.36+45634.14</f>
        <v>383827.88</v>
      </c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1"/>
      <c r="CX61" s="82" t="s">
        <v>43</v>
      </c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1"/>
      <c r="DK61" s="82" t="s">
        <v>43</v>
      </c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1"/>
      <c r="DX61" s="78">
        <f>SUM(CH61:DW61)</f>
        <v>383827.88</v>
      </c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80"/>
      <c r="EK61" s="82">
        <v>0</v>
      </c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1"/>
      <c r="EX61" s="78">
        <f>SUM(BC61-DX61)</f>
        <v>251.11999999999534</v>
      </c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85"/>
    </row>
    <row r="62" spans="1:166" ht="36.75" customHeight="1" thickBot="1">
      <c r="A62" s="88" t="s">
        <v>295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40" t="s">
        <v>204</v>
      </c>
      <c r="AL62" s="41"/>
      <c r="AM62" s="41"/>
      <c r="AN62" s="41"/>
      <c r="AO62" s="41"/>
      <c r="AP62" s="42"/>
      <c r="AQ62" s="48" t="s">
        <v>221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f>5489500-1905+169400</f>
        <v>5656995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54">
        <f>SUM(BC62)</f>
        <v>5656995</v>
      </c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48">
        <f>825559.86+4265886.24+396148.8+169400</f>
        <v>5656994.9</v>
      </c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 t="s">
        <v>43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 t="s">
        <v>43</v>
      </c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54">
        <f>SUM(CH62:DW62)</f>
        <v>5656994.9</v>
      </c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48">
        <v>0</v>
      </c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54">
        <f>SUM(BC62-DX62)</f>
        <v>0.09999999962747097</v>
      </c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90"/>
    </row>
    <row r="63" spans="1:166" ht="15" customHeight="1" thickBo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40" t="s">
        <v>85</v>
      </c>
      <c r="AL63" s="41"/>
      <c r="AM63" s="41"/>
      <c r="AN63" s="41"/>
      <c r="AO63" s="41"/>
      <c r="AP63" s="42"/>
      <c r="AQ63" s="44" t="s">
        <v>227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>
        <f>SUM(BC64:BT65)</f>
        <v>1219000</v>
      </c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57">
        <f>SUM(BU64:CG65)</f>
        <v>1219000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44">
        <f>SUM(CH64:CW65)</f>
        <v>910344.26</v>
      </c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 t="s">
        <v>43</v>
      </c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 t="s">
        <v>43</v>
      </c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57">
        <f>SUM(DX64:EJ65)</f>
        <v>910344.26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44">
        <f>SUM(EK65:EW65)</f>
        <v>0</v>
      </c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57">
        <f>SUM(BC63-DX63)</f>
        <v>308655.74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81"/>
    </row>
    <row r="64" spans="1:166" ht="37.5" customHeight="1" thickBot="1">
      <c r="A64" s="88" t="s">
        <v>293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40" t="s">
        <v>86</v>
      </c>
      <c r="AL64" s="41"/>
      <c r="AM64" s="41"/>
      <c r="AN64" s="41"/>
      <c r="AO64" s="41"/>
      <c r="AP64" s="42"/>
      <c r="AQ64" s="48" t="s">
        <v>222</v>
      </c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v>9600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54">
        <f aca="true" t="shared" si="4" ref="BU64:BU78">SUM(BC64)</f>
        <v>9600</v>
      </c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48">
        <f>736.57+750.07+750.07+750.07+822.29+794.29+794.29+892.09+885.83</f>
        <v>7175.570000000001</v>
      </c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 t="s">
        <v>43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 t="s">
        <v>43</v>
      </c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54">
        <f>SUM(CH64:DW64)</f>
        <v>7175.570000000001</v>
      </c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48">
        <v>0</v>
      </c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54">
        <f aca="true" t="shared" si="5" ref="EX64:EX75">SUM(BU64-DX64)</f>
        <v>2424.4299999999994</v>
      </c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90"/>
    </row>
    <row r="65" spans="1:166" ht="41.25" customHeight="1" thickBot="1">
      <c r="A65" s="52" t="s">
        <v>296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3"/>
      <c r="AK65" s="40" t="s">
        <v>324</v>
      </c>
      <c r="AL65" s="41"/>
      <c r="AM65" s="41"/>
      <c r="AN65" s="41"/>
      <c r="AO65" s="41"/>
      <c r="AP65" s="42"/>
      <c r="AQ65" s="48" t="s">
        <v>223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>
        <v>1209400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54">
        <f t="shared" si="4"/>
        <v>1209400</v>
      </c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48">
        <f>93469.49+95562.19+95562.19+95562.19+103008.36+100121.12+100121.12+110203.38+109558.65</f>
        <v>903168.6900000001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54">
        <f>SUM(CH65:DW65)</f>
        <v>903168.6900000001</v>
      </c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48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54">
        <f t="shared" si="5"/>
        <v>306231.30999999994</v>
      </c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90"/>
    </row>
    <row r="66" spans="1:166" ht="70.5" customHeight="1" thickBot="1">
      <c r="A66" s="103" t="s">
        <v>302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4"/>
      <c r="AK66" s="183">
        <v>214</v>
      </c>
      <c r="AL66" s="41"/>
      <c r="AM66" s="41"/>
      <c r="AN66" s="41"/>
      <c r="AO66" s="41"/>
      <c r="AP66" s="42"/>
      <c r="AQ66" s="49" t="s">
        <v>224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1"/>
      <c r="BC66" s="45">
        <v>955300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7"/>
      <c r="BU66" s="49">
        <f t="shared" si="4"/>
        <v>955300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1"/>
      <c r="CH66" s="45">
        <f>28594.61+73277.62+107711.25+122533.74+64252.48+58873.64+53357.46+69652.06+66256.56</f>
        <v>644509.4199999999</v>
      </c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7"/>
      <c r="CX66" s="45" t="s">
        <v>43</v>
      </c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7"/>
      <c r="DK66" s="45" t="s">
        <v>43</v>
      </c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7"/>
      <c r="DX66" s="49">
        <f>SUM(CH66)</f>
        <v>644509.4199999999</v>
      </c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1"/>
      <c r="EK66" s="45">
        <v>0</v>
      </c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7"/>
      <c r="EX66" s="49">
        <f t="shared" si="5"/>
        <v>310790.5800000001</v>
      </c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185"/>
    </row>
    <row r="67" spans="1:166" ht="73.5" customHeight="1" thickBot="1">
      <c r="A67" s="103" t="s">
        <v>303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4"/>
      <c r="AK67" s="40" t="s">
        <v>116</v>
      </c>
      <c r="AL67" s="41"/>
      <c r="AM67" s="41"/>
      <c r="AN67" s="41"/>
      <c r="AO67" s="41"/>
      <c r="AP67" s="42"/>
      <c r="AQ67" s="57" t="s">
        <v>305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44">
        <f>39071800+4026500+4620600</f>
        <v>47718900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57">
        <f t="shared" si="4"/>
        <v>47718900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44">
        <f>3104300+3140700+3499200+3439500+3172200+5043800+3543200+3432000+6880900</f>
        <v>35255800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 t="s">
        <v>43</v>
      </c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 t="s">
        <v>43</v>
      </c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57">
        <f>SUM(CH67)</f>
        <v>35255800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44">
        <v>0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57">
        <f t="shared" si="5"/>
        <v>12463100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81"/>
    </row>
    <row r="68" spans="1:166" ht="30" customHeight="1" thickBot="1">
      <c r="A68" s="103" t="s">
        <v>301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4"/>
      <c r="AK68" s="40" t="s">
        <v>307</v>
      </c>
      <c r="AL68" s="41"/>
      <c r="AM68" s="41"/>
      <c r="AN68" s="41"/>
      <c r="AO68" s="41"/>
      <c r="AP68" s="42"/>
      <c r="AQ68" s="57" t="s">
        <v>225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44">
        <f>3318100-1187400</f>
        <v>2130700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57">
        <f>SUM(BC68)</f>
        <v>2130700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44">
        <v>2024077.41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 t="s">
        <v>43</v>
      </c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 t="s">
        <v>43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57">
        <f>SUM(CH68)</f>
        <v>2024077.41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44"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57">
        <f>SUM(BU68-DX68)</f>
        <v>106622.59000000008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81"/>
    </row>
    <row r="69" spans="1:166" ht="34.5" customHeight="1">
      <c r="A69" s="103" t="s">
        <v>301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4"/>
      <c r="AK69" s="40" t="s">
        <v>203</v>
      </c>
      <c r="AL69" s="41"/>
      <c r="AM69" s="41"/>
      <c r="AN69" s="41"/>
      <c r="AO69" s="41"/>
      <c r="AP69" s="42"/>
      <c r="AQ69" s="57" t="s">
        <v>226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44">
        <f>174700-62400</f>
        <v>112300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57">
        <f>SUM(BC69)</f>
        <v>112300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44">
        <v>106530.39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 t="s">
        <v>43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43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57">
        <f>SUM(CH69)</f>
        <v>106530.39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44">
        <v>0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57">
        <f>SUM(BU69-DX69)</f>
        <v>5769.610000000001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81"/>
    </row>
    <row r="70" spans="1:166" ht="1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40" t="s">
        <v>325</v>
      </c>
      <c r="AL70" s="41"/>
      <c r="AM70" s="41"/>
      <c r="AN70" s="41"/>
      <c r="AO70" s="41"/>
      <c r="AP70" s="42"/>
      <c r="AQ70" s="37" t="s">
        <v>228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>SUM(BC71:BT72)</f>
        <v>865000</v>
      </c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>
        <f>SUM(BC70)</f>
        <v>865000</v>
      </c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>
        <f>SUM(CH71:CW72)</f>
        <v>678561.26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43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 t="s">
        <v>43</v>
      </c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>
        <f aca="true" t="shared" si="6" ref="DX70:DX75">CH70</f>
        <v>678561.26</v>
      </c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>
        <f>SUM(EK71:EW72)</f>
        <v>0</v>
      </c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>
        <f>SUM(BU70-DX70)</f>
        <v>186438.74</v>
      </c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</row>
    <row r="71" spans="1:166" ht="39" customHeight="1">
      <c r="A71" s="88" t="s">
        <v>293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183">
        <v>219</v>
      </c>
      <c r="AL71" s="41"/>
      <c r="AM71" s="41"/>
      <c r="AN71" s="41"/>
      <c r="AO71" s="41"/>
      <c r="AP71" s="42"/>
      <c r="AQ71" s="43" t="s">
        <v>290</v>
      </c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>
        <v>8300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>
        <f>SUM(BC71)</f>
        <v>8300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>
        <f>568.6+568.6+1436.95+645.18+676.75+600.29+600.29+821.86+600.29</f>
        <v>6518.8099999999995</v>
      </c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 t="s">
        <v>43</v>
      </c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 t="s">
        <v>43</v>
      </c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>
        <f t="shared" si="6"/>
        <v>6518.8099999999995</v>
      </c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>
        <v>0</v>
      </c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>
        <f>SUM(BU71-DX71)</f>
        <v>1781.1900000000005</v>
      </c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</row>
    <row r="72" spans="1:166" ht="42.75" customHeight="1">
      <c r="A72" s="52" t="s">
        <v>296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3"/>
      <c r="AK72" s="40" t="s">
        <v>308</v>
      </c>
      <c r="AL72" s="41"/>
      <c r="AM72" s="41"/>
      <c r="AN72" s="41"/>
      <c r="AO72" s="41"/>
      <c r="AP72" s="42"/>
      <c r="AQ72" s="43" t="s">
        <v>304</v>
      </c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>
        <v>856700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>
        <f>SUM(BC72)</f>
        <v>856700</v>
      </c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>
        <f>58618.21+58618.21+148139.49+66513.76+69768.5+61885.39+61885.39+84728.11+61885.39</f>
        <v>672042.45</v>
      </c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 t="s">
        <v>43</v>
      </c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 t="s">
        <v>43</v>
      </c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>
        <f t="shared" si="6"/>
        <v>672042.45</v>
      </c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>
        <v>0</v>
      </c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>
        <f>SUM(BU72-DX72)</f>
        <v>184657.55000000005</v>
      </c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</row>
    <row r="73" spans="1:166" ht="1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40" t="s">
        <v>117</v>
      </c>
      <c r="AL73" s="41"/>
      <c r="AM73" s="41"/>
      <c r="AN73" s="41"/>
      <c r="AO73" s="41"/>
      <c r="AP73" s="42"/>
      <c r="AQ73" s="37" t="s">
        <v>229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f>SUM(BC74:BT75)</f>
        <v>1124400</v>
      </c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>
        <f t="shared" si="4"/>
        <v>1124400</v>
      </c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>
        <f>SUM(CH74:CW75)</f>
        <v>1124371.63</v>
      </c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 t="s">
        <v>43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 t="s">
        <v>43</v>
      </c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>
        <f t="shared" si="6"/>
        <v>1124371.63</v>
      </c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>
        <f>SUM(EK74:EW75)</f>
        <v>0</v>
      </c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>
        <f t="shared" si="5"/>
        <v>28.37000000011176</v>
      </c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</row>
    <row r="74" spans="1:166" ht="37.5" customHeight="1">
      <c r="A74" s="88" t="s">
        <v>293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40" t="s">
        <v>118</v>
      </c>
      <c r="AL74" s="41"/>
      <c r="AM74" s="41"/>
      <c r="AN74" s="41"/>
      <c r="AO74" s="41"/>
      <c r="AP74" s="42"/>
      <c r="AQ74" s="43" t="s">
        <v>230</v>
      </c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>
        <f>10700+130</f>
        <v>10830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>
        <f t="shared" si="4"/>
        <v>10830</v>
      </c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>
        <f>8161.23+2280.34+240.04+120.02</f>
        <v>10801.630000000001</v>
      </c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 t="s">
        <v>43</v>
      </c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 t="s">
        <v>43</v>
      </c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>
        <f t="shared" si="6"/>
        <v>10801.630000000001</v>
      </c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>
        <v>0</v>
      </c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>
        <f t="shared" si="5"/>
        <v>28.36999999999898</v>
      </c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</row>
    <row r="75" spans="1:166" ht="36" customHeight="1">
      <c r="A75" s="52" t="s">
        <v>296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3"/>
      <c r="AK75" s="40" t="s">
        <v>114</v>
      </c>
      <c r="AL75" s="41"/>
      <c r="AM75" s="41"/>
      <c r="AN75" s="41"/>
      <c r="AO75" s="41"/>
      <c r="AP75" s="42"/>
      <c r="AQ75" s="43" t="s">
        <v>231</v>
      </c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>
        <f>1101200+12370</f>
        <v>1113570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>
        <f t="shared" si="4"/>
        <v>1113570</v>
      </c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>
        <f>841364+235087+24746+12373</f>
        <v>1113570</v>
      </c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 t="s">
        <v>43</v>
      </c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 t="s">
        <v>43</v>
      </c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>
        <f t="shared" si="6"/>
        <v>1113570</v>
      </c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>
        <v>0</v>
      </c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>
        <f t="shared" si="5"/>
        <v>0</v>
      </c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</row>
    <row r="76" spans="1:166" ht="1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40" t="s">
        <v>120</v>
      </c>
      <c r="AL76" s="41"/>
      <c r="AM76" s="41"/>
      <c r="AN76" s="41"/>
      <c r="AO76" s="41"/>
      <c r="AP76" s="42"/>
      <c r="AQ76" s="37" t="s">
        <v>234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>
        <f>SUM(BC77:BT78)</f>
        <v>17246700</v>
      </c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>
        <f t="shared" si="4"/>
        <v>17246700</v>
      </c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>
        <f>SUM(CH77:CW78)</f>
        <v>17246700</v>
      </c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 t="s">
        <v>43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 t="s">
        <v>43</v>
      </c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>
        <f aca="true" t="shared" si="7" ref="DX76:DX82">CH76</f>
        <v>17246700</v>
      </c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>
        <f>SUM(EK77:EW78)</f>
        <v>0</v>
      </c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>
        <f>BU76-DX76</f>
        <v>0</v>
      </c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</row>
    <row r="77" spans="1:166" ht="34.5" customHeight="1">
      <c r="A77" s="88" t="s">
        <v>293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40" t="s">
        <v>87</v>
      </c>
      <c r="AL77" s="41"/>
      <c r="AM77" s="41"/>
      <c r="AN77" s="41"/>
      <c r="AO77" s="41"/>
      <c r="AP77" s="42"/>
      <c r="AQ77" s="43" t="s">
        <v>232</v>
      </c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>
        <f>185000-21700+16800-22247.71+22100</f>
        <v>179952.29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>
        <f t="shared" si="4"/>
        <v>179952.29</v>
      </c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184">
        <f>39292.47+29781.25+22215.7+22344.46+21934.39+22284.02+22100</f>
        <v>179952.29</v>
      </c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43" t="s">
        <v>43</v>
      </c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 t="s">
        <v>43</v>
      </c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>
        <f t="shared" si="7"/>
        <v>179952.29</v>
      </c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>
        <v>0</v>
      </c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>
        <f>BC77-DX77</f>
        <v>0</v>
      </c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</row>
    <row r="78" spans="1:166" ht="38.25" customHeight="1">
      <c r="A78" s="52" t="s">
        <v>296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40" t="s">
        <v>169</v>
      </c>
      <c r="AL78" s="41"/>
      <c r="AM78" s="41"/>
      <c r="AN78" s="41"/>
      <c r="AO78" s="41"/>
      <c r="AP78" s="42"/>
      <c r="AQ78" s="43" t="s">
        <v>233</v>
      </c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>
        <f>12421300+1966600+903500+22247.71+1753100</f>
        <v>17066747.71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>
        <f t="shared" si="4"/>
        <v>17066747.71</v>
      </c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184">
        <f>4692841.88+1774564.81+1788193.96+1752885.52+1779379.92+1745799.99+1779915.98+1753165.65</f>
        <v>17066747.71</v>
      </c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43" t="s">
        <v>43</v>
      </c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 t="s">
        <v>43</v>
      </c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>
        <f t="shared" si="7"/>
        <v>17066747.71</v>
      </c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>
        <v>0</v>
      </c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>
        <f>BC78-DX78</f>
        <v>0</v>
      </c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</row>
    <row r="79" spans="1:166" ht="1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40" t="s">
        <v>309</v>
      </c>
      <c r="AL79" s="41"/>
      <c r="AM79" s="41"/>
      <c r="AN79" s="41"/>
      <c r="AO79" s="41"/>
      <c r="AP79" s="42"/>
      <c r="AQ79" s="37" t="s">
        <v>235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>
        <f>SUM(BC80:BT82)</f>
        <v>22451200</v>
      </c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>
        <f>SUM(BU80:CG82)</f>
        <v>22451200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>
        <f>SUM(CH80:CW82)</f>
        <v>15025555.82</v>
      </c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 t="s">
        <v>43</v>
      </c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 t="s">
        <v>43</v>
      </c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>
        <f t="shared" si="7"/>
        <v>15025555.82</v>
      </c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>
        <f>SUM(EK80:EW82)</f>
        <v>0</v>
      </c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>
        <f aca="true" t="shared" si="8" ref="EX79:EX126">SUM(BU79-DX79)</f>
        <v>7425644.18</v>
      </c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</row>
    <row r="80" spans="1:166" ht="32.25" customHeight="1">
      <c r="A80" s="88" t="s">
        <v>293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40" t="s">
        <v>88</v>
      </c>
      <c r="AL80" s="41"/>
      <c r="AM80" s="41"/>
      <c r="AN80" s="41"/>
      <c r="AO80" s="41"/>
      <c r="AP80" s="42"/>
      <c r="AQ80" s="43" t="s">
        <v>236</v>
      </c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>
        <v>209800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>
        <f>SUM(BC80)</f>
        <v>209800</v>
      </c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184">
        <f>27293.74+24222+16857.13+16628.65+16555.67+16871.18+16472.84+5178.08</f>
        <v>140079.29</v>
      </c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43" t="s">
        <v>43</v>
      </c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 t="s">
        <v>43</v>
      </c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>
        <f t="shared" si="7"/>
        <v>140079.29</v>
      </c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>
        <v>0</v>
      </c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>
        <f t="shared" si="8"/>
        <v>69720.70999999999</v>
      </c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</row>
    <row r="81" spans="1:166" ht="39.75" customHeight="1">
      <c r="A81" s="52" t="s">
        <v>296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  <c r="AK81" s="40" t="s">
        <v>115</v>
      </c>
      <c r="AL81" s="41"/>
      <c r="AM81" s="41"/>
      <c r="AN81" s="41"/>
      <c r="AO81" s="41"/>
      <c r="AP81" s="42"/>
      <c r="AQ81" s="43" t="s">
        <v>237</v>
      </c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>
        <v>17841400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>
        <f>SUM(BC81)</f>
        <v>17841400</v>
      </c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184">
        <f>1374495+1412961.13+1409854.6+1348057.4+1320131.77+1341189.03+1328704.5+1313229.74+1330720.05</f>
        <v>12179343.22</v>
      </c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43" t="s">
        <v>43</v>
      </c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 t="s">
        <v>43</v>
      </c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>
        <f t="shared" si="7"/>
        <v>12179343.22</v>
      </c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>
        <v>0</v>
      </c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>
        <f t="shared" si="8"/>
        <v>5662056.779999999</v>
      </c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</row>
    <row r="82" spans="1:166" ht="43.5" customHeight="1">
      <c r="A82" s="88" t="s">
        <v>295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40" t="s">
        <v>89</v>
      </c>
      <c r="AL82" s="41"/>
      <c r="AM82" s="41"/>
      <c r="AN82" s="41"/>
      <c r="AO82" s="41"/>
      <c r="AP82" s="42"/>
      <c r="AQ82" s="43" t="s">
        <v>238</v>
      </c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>
        <v>4400000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>
        <f>SUM(BC82)</f>
        <v>4400000</v>
      </c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184">
        <f>327805+360101.54+361216.3+352090.47+310580+373158.13+310580+310601.87</f>
        <v>2706133.31</v>
      </c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43" t="s">
        <v>43</v>
      </c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 t="s">
        <v>43</v>
      </c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>
        <f t="shared" si="7"/>
        <v>2706133.31</v>
      </c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>
        <v>0</v>
      </c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>
        <f t="shared" si="8"/>
        <v>1693866.69</v>
      </c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</row>
    <row r="83" spans="1:166" ht="34.5" customHeight="1">
      <c r="A83" s="103" t="s">
        <v>295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4"/>
      <c r="AK83" s="40" t="s">
        <v>310</v>
      </c>
      <c r="AL83" s="41"/>
      <c r="AM83" s="41"/>
      <c r="AN83" s="41"/>
      <c r="AO83" s="41"/>
      <c r="AP83" s="42"/>
      <c r="AQ83" s="37" t="s">
        <v>239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758100-57200</f>
        <v>700900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>SUM(BC83)</f>
        <v>700900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>
        <f>11123.51+28788.63+33150.28+39774.11+35526.07+4012.05+5829.86+5586.42+4673</f>
        <v>168463.93</v>
      </c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aca="true" t="shared" si="9" ref="DX83:DX91">CH83</f>
        <v>168463.93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8"/>
        <v>532436.0700000001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1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40" t="s">
        <v>90</v>
      </c>
      <c r="AL84" s="41"/>
      <c r="AM84" s="41"/>
      <c r="AN84" s="41"/>
      <c r="AO84" s="41"/>
      <c r="AP84" s="42"/>
      <c r="AQ84" s="37" t="s">
        <v>240</v>
      </c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>
        <f>SUM(BC85:BT87)</f>
        <v>337300</v>
      </c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>
        <f>SUM(BU85:CG87)</f>
        <v>337300</v>
      </c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>
        <f>SUM(CH85:CW87)</f>
        <v>196228.41</v>
      </c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 t="s">
        <v>43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 t="s">
        <v>43</v>
      </c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>
        <f t="shared" si="9"/>
        <v>196228.41</v>
      </c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>
        <f>SUM(EK85:EW87)</f>
        <v>0</v>
      </c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>
        <f t="shared" si="8"/>
        <v>141071.59</v>
      </c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</row>
    <row r="85" spans="1:166" ht="37.5" customHeight="1">
      <c r="A85" s="88" t="s">
        <v>293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40" t="s">
        <v>91</v>
      </c>
      <c r="AL85" s="41"/>
      <c r="AM85" s="41"/>
      <c r="AN85" s="41"/>
      <c r="AO85" s="41"/>
      <c r="AP85" s="42"/>
      <c r="AQ85" s="43" t="s">
        <v>241</v>
      </c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>
        <v>4700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>
        <f>SUM(BC85)</f>
        <v>4700</v>
      </c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>
        <f>309.56+151.58+422.78+219.32+219.15+219.31+207.67+207.67+27.17</f>
        <v>1984.2100000000003</v>
      </c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 t="s">
        <v>43</v>
      </c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 t="s">
        <v>43</v>
      </c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>
        <f t="shared" si="9"/>
        <v>1984.2100000000003</v>
      </c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>
        <v>0</v>
      </c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>
        <f t="shared" si="8"/>
        <v>2715.79</v>
      </c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</row>
    <row r="86" spans="1:166" ht="39" customHeight="1">
      <c r="A86" s="52" t="s">
        <v>296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40" t="s">
        <v>92</v>
      </c>
      <c r="AL86" s="41"/>
      <c r="AM86" s="41"/>
      <c r="AN86" s="41"/>
      <c r="AO86" s="41"/>
      <c r="AP86" s="42"/>
      <c r="AQ86" s="43" t="s">
        <v>242</v>
      </c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>
        <v>298600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>
        <f>SUM(BC86)</f>
        <v>298600</v>
      </c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>
        <f>36414.33+23688.42+20623.79+17196.12+17210.04+17210.04+16009.68+16009.68+17515.18</f>
        <v>181877.28</v>
      </c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 t="s">
        <v>43</v>
      </c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 t="s">
        <v>43</v>
      </c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>
        <f t="shared" si="9"/>
        <v>181877.28</v>
      </c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>
        <v>0</v>
      </c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>
        <f t="shared" si="8"/>
        <v>116722.72</v>
      </c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</row>
    <row r="87" spans="1:166" ht="39" customHeight="1">
      <c r="A87" s="88" t="s">
        <v>295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40" t="s">
        <v>93</v>
      </c>
      <c r="AL87" s="41"/>
      <c r="AM87" s="41"/>
      <c r="AN87" s="41"/>
      <c r="AO87" s="41"/>
      <c r="AP87" s="42"/>
      <c r="AQ87" s="43" t="s">
        <v>243</v>
      </c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>
        <v>34000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>
        <f>SUM(BC87)</f>
        <v>34000</v>
      </c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>
        <f>1330.67+1060+1300.6+2134.75+1060+1415.15+1325+1415.75+1325</f>
        <v>12366.92</v>
      </c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 t="s">
        <v>43</v>
      </c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 t="s">
        <v>43</v>
      </c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>
        <f t="shared" si="9"/>
        <v>12366.92</v>
      </c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>
        <v>0</v>
      </c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>
        <f t="shared" si="8"/>
        <v>21633.08</v>
      </c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</row>
    <row r="88" spans="1:166" ht="1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40" t="s">
        <v>94</v>
      </c>
      <c r="AL88" s="41"/>
      <c r="AM88" s="41"/>
      <c r="AN88" s="41"/>
      <c r="AO88" s="41"/>
      <c r="AP88" s="42"/>
      <c r="AQ88" s="37" t="s">
        <v>244</v>
      </c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>
        <f>SUM(BC89:BT91)</f>
        <v>8265400</v>
      </c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>
        <f>SUM(BU89:CG91)</f>
        <v>8265400</v>
      </c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>
        <f>SUM(CH89:CW91)</f>
        <v>6151325.619999999</v>
      </c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 t="s">
        <v>43</v>
      </c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 t="s">
        <v>43</v>
      </c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>
        <f t="shared" si="9"/>
        <v>6151325.619999999</v>
      </c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>
        <f>SUM(EK89:EW91)</f>
        <v>0</v>
      </c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>
        <f t="shared" si="8"/>
        <v>2114074.380000001</v>
      </c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</row>
    <row r="89" spans="1:166" ht="35.25" customHeight="1">
      <c r="A89" s="88" t="s">
        <v>293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40" t="s">
        <v>311</v>
      </c>
      <c r="AL89" s="41"/>
      <c r="AM89" s="41"/>
      <c r="AN89" s="41"/>
      <c r="AO89" s="41"/>
      <c r="AP89" s="42"/>
      <c r="AQ89" s="43" t="s">
        <v>245</v>
      </c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>
        <v>81000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>
        <f aca="true" t="shared" si="10" ref="BU89:BU131">SUM(BC89)</f>
        <v>81000</v>
      </c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184">
        <f>4554.98+4925.59+10278.93+6472.74+6475.73+6359.37+6525.14+6584.03+367.2</f>
        <v>52543.70999999999</v>
      </c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43" t="s">
        <v>43</v>
      </c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 t="s">
        <v>43</v>
      </c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>
        <f t="shared" si="9"/>
        <v>52543.70999999999</v>
      </c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>
        <v>0</v>
      </c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>
        <f t="shared" si="8"/>
        <v>28456.290000000008</v>
      </c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</row>
    <row r="90" spans="1:166" ht="39.75" customHeight="1">
      <c r="A90" s="52" t="s">
        <v>296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3"/>
      <c r="AK90" s="40" t="s">
        <v>95</v>
      </c>
      <c r="AL90" s="41"/>
      <c r="AM90" s="41"/>
      <c r="AN90" s="41"/>
      <c r="AO90" s="41"/>
      <c r="AP90" s="42"/>
      <c r="AQ90" s="43" t="s">
        <v>246</v>
      </c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>
        <v>6084400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>
        <f t="shared" si="10"/>
        <v>6084400</v>
      </c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184">
        <f>518272.76+108305.46+1047320.17+506298.39+497759.13+510372.55+511236.65+515930.45+524457.8</f>
        <v>4739953.359999999</v>
      </c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43" t="s">
        <v>43</v>
      </c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 t="s">
        <v>43</v>
      </c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>
        <f t="shared" si="9"/>
        <v>4739953.359999999</v>
      </c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>
        <v>0</v>
      </c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>
        <f t="shared" si="8"/>
        <v>1344446.6400000006</v>
      </c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1:166" ht="34.5" customHeight="1">
      <c r="A91" s="88" t="s">
        <v>295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40" t="s">
        <v>96</v>
      </c>
      <c r="AL91" s="41"/>
      <c r="AM91" s="41"/>
      <c r="AN91" s="41"/>
      <c r="AO91" s="41"/>
      <c r="AP91" s="42"/>
      <c r="AQ91" s="43" t="s">
        <v>247</v>
      </c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>
        <v>2100000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>
        <f t="shared" si="10"/>
        <v>2100000</v>
      </c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184">
        <f>15337.42+148400+183822.4+148400+161720.43+168275+196323.3+168275+168275</f>
        <v>1358828.55</v>
      </c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43" t="s">
        <v>43</v>
      </c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 t="s">
        <v>43</v>
      </c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>
        <f t="shared" si="9"/>
        <v>1358828.55</v>
      </c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>
        <v>0</v>
      </c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>
        <f t="shared" si="8"/>
        <v>741171.45</v>
      </c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</row>
    <row r="92" spans="1:166" ht="1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40" t="s">
        <v>97</v>
      </c>
      <c r="AL92" s="41"/>
      <c r="AM92" s="41"/>
      <c r="AN92" s="41"/>
      <c r="AO92" s="41"/>
      <c r="AP92" s="42"/>
      <c r="AQ92" s="37" t="s">
        <v>248</v>
      </c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>
        <f>SUM(BC93:BT94)</f>
        <v>44438800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>
        <f t="shared" si="10"/>
        <v>44438800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>
        <f>SUM(CH93:CW94)</f>
        <v>36283279.879999995</v>
      </c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43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 t="s">
        <v>43</v>
      </c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>
        <f aca="true" t="shared" si="11" ref="DX92:DX97">CH92</f>
        <v>36283279.879999995</v>
      </c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>
        <f>SUM(EK93:EW94)</f>
        <v>0</v>
      </c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>
        <f t="shared" si="8"/>
        <v>8155520.120000005</v>
      </c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</row>
    <row r="93" spans="1:166" ht="33" customHeight="1">
      <c r="A93" s="88" t="s">
        <v>293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40" t="s">
        <v>170</v>
      </c>
      <c r="AL93" s="41"/>
      <c r="AM93" s="41"/>
      <c r="AN93" s="41"/>
      <c r="AO93" s="41"/>
      <c r="AP93" s="42"/>
      <c r="AQ93" s="43" t="s">
        <v>249</v>
      </c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>
        <v>443000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>
        <f t="shared" si="10"/>
        <v>443000</v>
      </c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>
        <f>44016.19+96540.7+41559.36+37722.11+37105.38+33945.44+31380.02+757.92</f>
        <v>323027.12</v>
      </c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 t="s">
        <v>43</v>
      </c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 t="s">
        <v>43</v>
      </c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>
        <f t="shared" si="11"/>
        <v>323027.12</v>
      </c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>
        <v>0</v>
      </c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>
        <f t="shared" si="8"/>
        <v>119972.88</v>
      </c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</row>
    <row r="94" spans="1:166" ht="39" customHeight="1">
      <c r="A94" s="52" t="s">
        <v>296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3"/>
      <c r="AK94" s="40" t="s">
        <v>312</v>
      </c>
      <c r="AL94" s="41"/>
      <c r="AM94" s="41"/>
      <c r="AN94" s="41"/>
      <c r="AO94" s="41"/>
      <c r="AP94" s="42"/>
      <c r="AQ94" s="43" t="s">
        <v>250</v>
      </c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>
        <v>43995800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>
        <f t="shared" si="10"/>
        <v>43995800</v>
      </c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>
        <f>4055983.81+9731597.65+4010738.34+3739756.16+3688166.8+3630560.47+3204207.45+3899242.08</f>
        <v>35960252.76</v>
      </c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 t="s">
        <v>43</v>
      </c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 t="s">
        <v>43</v>
      </c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>
        <f t="shared" si="11"/>
        <v>35960252.76</v>
      </c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>
        <v>0</v>
      </c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>
        <f t="shared" si="8"/>
        <v>8035547.240000002</v>
      </c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</row>
    <row r="95" spans="1:166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40" t="s">
        <v>98</v>
      </c>
      <c r="AL95" s="41"/>
      <c r="AM95" s="41"/>
      <c r="AN95" s="41"/>
      <c r="AO95" s="41"/>
      <c r="AP95" s="42"/>
      <c r="AQ95" s="37" t="s">
        <v>251</v>
      </c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>
        <f>SUM(BC96:BT97)</f>
        <v>7961200</v>
      </c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>
        <f t="shared" si="10"/>
        <v>7961200</v>
      </c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>
        <f>SUM(CH96:CW97)</f>
        <v>7406132.87</v>
      </c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43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 t="s">
        <v>43</v>
      </c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>
        <f t="shared" si="11"/>
        <v>7406132.87</v>
      </c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>
        <f>SUM(EK96:EW97)</f>
        <v>0</v>
      </c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>
        <f t="shared" si="8"/>
        <v>555067.1299999999</v>
      </c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</row>
    <row r="96" spans="1:166" ht="35.25" customHeight="1">
      <c r="A96" s="88" t="s">
        <v>293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40" t="s">
        <v>99</v>
      </c>
      <c r="AL96" s="41"/>
      <c r="AM96" s="41"/>
      <c r="AN96" s="41"/>
      <c r="AO96" s="41"/>
      <c r="AP96" s="42"/>
      <c r="AQ96" s="43" t="s">
        <v>252</v>
      </c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>
        <f>85000-3700+8800</f>
        <v>90100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>
        <f t="shared" si="10"/>
        <v>90100</v>
      </c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>
        <f>17013.31+37566.34+14876.9+6121.39+4121.42+2761.8+1411.62+1255.73</f>
        <v>85128.50999999998</v>
      </c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 t="s">
        <v>43</v>
      </c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 t="s">
        <v>43</v>
      </c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>
        <f t="shared" si="11"/>
        <v>85128.50999999998</v>
      </c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>
        <v>0</v>
      </c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>
        <f t="shared" si="8"/>
        <v>4971.49000000002</v>
      </c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</row>
    <row r="97" spans="1:166" ht="38.25" customHeight="1">
      <c r="A97" s="52" t="s">
        <v>296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3"/>
      <c r="AK97" s="40" t="s">
        <v>100</v>
      </c>
      <c r="AL97" s="41"/>
      <c r="AM97" s="41"/>
      <c r="AN97" s="41"/>
      <c r="AO97" s="41"/>
      <c r="AP97" s="42"/>
      <c r="AQ97" s="43" t="s">
        <v>253</v>
      </c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>
        <f>7975900-96000-8800</f>
        <v>7871100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>
        <f t="shared" si="10"/>
        <v>7871100</v>
      </c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>
        <f>1618130.02+3366543.03+1128761.14+410362.65+352142.48+201611.78+116823.45+126629.81</f>
        <v>7321004.36</v>
      </c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 t="s">
        <v>43</v>
      </c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 t="s">
        <v>43</v>
      </c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>
        <f t="shared" si="11"/>
        <v>7321004.36</v>
      </c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>
        <v>0</v>
      </c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>
        <f t="shared" si="8"/>
        <v>550095.6399999997</v>
      </c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</row>
    <row r="98" spans="1:166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40" t="s">
        <v>101</v>
      </c>
      <c r="AL98" s="41"/>
      <c r="AM98" s="41"/>
      <c r="AN98" s="41"/>
      <c r="AO98" s="41"/>
      <c r="AP98" s="42"/>
      <c r="AQ98" s="37" t="s">
        <v>254</v>
      </c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>
        <f>SUM(BC99:BT100)</f>
        <v>342900</v>
      </c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>
        <f t="shared" si="10"/>
        <v>342900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>
        <f>SUM(CH99:CW100)</f>
        <v>165182.57</v>
      </c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 t="s">
        <v>43</v>
      </c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 t="s">
        <v>43</v>
      </c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>
        <f aca="true" t="shared" si="12" ref="DX98:DX103">CH98</f>
        <v>165182.57</v>
      </c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>
        <f>SUM(EK99:EW100)</f>
        <v>0</v>
      </c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>
        <f t="shared" si="8"/>
        <v>177717.43</v>
      </c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</row>
    <row r="99" spans="1:166" ht="38.25" customHeight="1">
      <c r="A99" s="88" t="s">
        <v>293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9"/>
      <c r="AK99" s="40" t="s">
        <v>313</v>
      </c>
      <c r="AL99" s="41"/>
      <c r="AM99" s="41"/>
      <c r="AN99" s="41"/>
      <c r="AO99" s="41"/>
      <c r="AP99" s="42"/>
      <c r="AQ99" s="43" t="s">
        <v>255</v>
      </c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>
        <v>3300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>
        <f t="shared" si="10"/>
        <v>3300</v>
      </c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>
        <f>153.57+153.57+307.14+51.19+153.57+153.57+358.33+63.57+192.38</f>
        <v>1586.8899999999999</v>
      </c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 t="s">
        <v>43</v>
      </c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 t="s">
        <v>43</v>
      </c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>
        <f t="shared" si="12"/>
        <v>1586.8899999999999</v>
      </c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>
        <v>0</v>
      </c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>
        <f t="shared" si="8"/>
        <v>1713.1100000000001</v>
      </c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</row>
    <row r="100" spans="1:166" ht="46.5" customHeight="1">
      <c r="A100" s="52" t="s">
        <v>296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3"/>
      <c r="AK100" s="40" t="s">
        <v>326</v>
      </c>
      <c r="AL100" s="41"/>
      <c r="AM100" s="41"/>
      <c r="AN100" s="41"/>
      <c r="AO100" s="41"/>
      <c r="AP100" s="42"/>
      <c r="AQ100" s="43" t="s">
        <v>256</v>
      </c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>
        <v>339600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>
        <f t="shared" si="10"/>
        <v>339600</v>
      </c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>
        <f>15831.84+15831.84+36940.96+15831.84+15831.84+36940.96+10554.56+15831.84</f>
        <v>163595.68</v>
      </c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 t="s">
        <v>43</v>
      </c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 t="s">
        <v>43</v>
      </c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>
        <f t="shared" si="12"/>
        <v>163595.68</v>
      </c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>
        <v>0</v>
      </c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>
        <f t="shared" si="8"/>
        <v>176004.32</v>
      </c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</row>
    <row r="101" spans="1:166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40" t="s">
        <v>102</v>
      </c>
      <c r="AL101" s="41"/>
      <c r="AM101" s="41"/>
      <c r="AN101" s="41"/>
      <c r="AO101" s="41"/>
      <c r="AP101" s="42"/>
      <c r="AQ101" s="37" t="s">
        <v>257</v>
      </c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>
        <f>SUM(BC102:BT103)</f>
        <v>6111600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>
        <f t="shared" si="10"/>
        <v>6111600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>
        <f>SUM(CH102:CW103)</f>
        <v>3351965.05</v>
      </c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43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 t="s">
        <v>43</v>
      </c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>
        <f t="shared" si="12"/>
        <v>3351965.05</v>
      </c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>
        <f>SUM(EK102:EW103)</f>
        <v>0</v>
      </c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>
        <f t="shared" si="8"/>
        <v>2759634.95</v>
      </c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</row>
    <row r="102" spans="1:166" ht="33" customHeight="1">
      <c r="A102" s="88" t="s">
        <v>293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9"/>
      <c r="AK102" s="40" t="s">
        <v>314</v>
      </c>
      <c r="AL102" s="41"/>
      <c r="AM102" s="41"/>
      <c r="AN102" s="41"/>
      <c r="AO102" s="41"/>
      <c r="AP102" s="42"/>
      <c r="AQ102" s="43" t="s">
        <v>258</v>
      </c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>
        <v>58700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>
        <f t="shared" si="10"/>
        <v>58700</v>
      </c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>
        <f>38.68+6136.87+5955.74+3549.11+3363.99+2981.7+3302.49+1954.28+539.77</f>
        <v>27822.63</v>
      </c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 t="s">
        <v>43</v>
      </c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 t="s">
        <v>43</v>
      </c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>
        <f t="shared" si="12"/>
        <v>27822.63</v>
      </c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>
        <v>0</v>
      </c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>
        <f t="shared" si="8"/>
        <v>30877.37</v>
      </c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</row>
    <row r="103" spans="1:166" ht="34.5" customHeight="1">
      <c r="A103" s="52" t="s">
        <v>296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3"/>
      <c r="AK103" s="40" t="s">
        <v>171</v>
      </c>
      <c r="AL103" s="41"/>
      <c r="AM103" s="41"/>
      <c r="AN103" s="41"/>
      <c r="AO103" s="41"/>
      <c r="AP103" s="42"/>
      <c r="AQ103" s="43" t="s">
        <v>259</v>
      </c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>
        <v>6052900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>
        <f t="shared" si="10"/>
        <v>6052900</v>
      </c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>
        <f>415461.32+380696.67+454489.49+365887.33+346802.52+360417.42+287437.4+292682.35+420267.92</f>
        <v>3324142.42</v>
      </c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 t="s">
        <v>43</v>
      </c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 t="s">
        <v>43</v>
      </c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>
        <f t="shared" si="12"/>
        <v>3324142.42</v>
      </c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>
        <v>0</v>
      </c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>
        <f t="shared" si="8"/>
        <v>2728757.58</v>
      </c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</row>
    <row r="104" spans="1:166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40" t="s">
        <v>103</v>
      </c>
      <c r="AL104" s="41"/>
      <c r="AM104" s="41"/>
      <c r="AN104" s="41"/>
      <c r="AO104" s="41"/>
      <c r="AP104" s="42"/>
      <c r="AQ104" s="37" t="s">
        <v>260</v>
      </c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>
        <f>SUM(BC105:BT106)</f>
        <v>3939600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>
        <f t="shared" si="10"/>
        <v>3939600</v>
      </c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f>SUM(CH105:CW106)</f>
        <v>3205408.77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 t="s">
        <v>43</v>
      </c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 t="s">
        <v>43</v>
      </c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>
        <f aca="true" t="shared" si="13" ref="DX104:DX109">CH104</f>
        <v>3205408.77</v>
      </c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>
        <f>SUM(EK105:EW106)</f>
        <v>0</v>
      </c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>
        <f t="shared" si="8"/>
        <v>734191.23</v>
      </c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</row>
    <row r="105" spans="1:166" ht="33.75" customHeight="1">
      <c r="A105" s="88" t="s">
        <v>293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9"/>
      <c r="AK105" s="40" t="s">
        <v>172</v>
      </c>
      <c r="AL105" s="41"/>
      <c r="AM105" s="41"/>
      <c r="AN105" s="41"/>
      <c r="AO105" s="41"/>
      <c r="AP105" s="42"/>
      <c r="AQ105" s="43" t="s">
        <v>261</v>
      </c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>
        <v>37800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>
        <f t="shared" si="10"/>
        <v>37800</v>
      </c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>
        <f>3999.31+3379+3334.96+3425.17+3532.01+3382+3092.94+3114.62+3533.76</f>
        <v>30793.769999999997</v>
      </c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 t="s">
        <v>43</v>
      </c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 t="s">
        <v>43</v>
      </c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>
        <f t="shared" si="13"/>
        <v>30793.769999999997</v>
      </c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>
        <v>0</v>
      </c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>
        <f t="shared" si="8"/>
        <v>7006.230000000003</v>
      </c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</row>
    <row r="106" spans="1:166" ht="39" customHeight="1">
      <c r="A106" s="52" t="s">
        <v>296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3"/>
      <c r="AK106" s="40" t="s">
        <v>121</v>
      </c>
      <c r="AL106" s="41"/>
      <c r="AM106" s="41"/>
      <c r="AN106" s="41"/>
      <c r="AO106" s="41"/>
      <c r="AP106" s="42"/>
      <c r="AQ106" s="43" t="s">
        <v>262</v>
      </c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>
        <v>3901800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>
        <f t="shared" si="10"/>
        <v>3901800</v>
      </c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>
        <f>412300+348350+343810+353110+364125+348660+318860+321095+364305</f>
        <v>3174615</v>
      </c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 t="s">
        <v>43</v>
      </c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 t="s">
        <v>43</v>
      </c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>
        <f t="shared" si="13"/>
        <v>3174615</v>
      </c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>
        <v>0</v>
      </c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>
        <f t="shared" si="8"/>
        <v>727185</v>
      </c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</row>
    <row r="107" spans="1:166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40" t="s">
        <v>173</v>
      </c>
      <c r="AL107" s="41"/>
      <c r="AM107" s="41"/>
      <c r="AN107" s="41"/>
      <c r="AO107" s="41"/>
      <c r="AP107" s="42"/>
      <c r="AQ107" s="37" t="s">
        <v>263</v>
      </c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f>SUM(BC108:BT109)</f>
        <v>16302700</v>
      </c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>
        <f t="shared" si="10"/>
        <v>16302700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f>SUM(CH108:CW109)</f>
        <v>12763891.67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43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 t="s">
        <v>43</v>
      </c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>
        <f t="shared" si="13"/>
        <v>12763891.67</v>
      </c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>
        <f>SUM(EK108:EW109)</f>
        <v>0</v>
      </c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>
        <f t="shared" si="8"/>
        <v>3538808.33</v>
      </c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</row>
    <row r="108" spans="1:166" ht="41.25" customHeight="1">
      <c r="A108" s="88" t="s">
        <v>293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9"/>
      <c r="AK108" s="40" t="s">
        <v>174</v>
      </c>
      <c r="AL108" s="41"/>
      <c r="AM108" s="41"/>
      <c r="AN108" s="41"/>
      <c r="AO108" s="41"/>
      <c r="AP108" s="42"/>
      <c r="AQ108" s="43" t="s">
        <v>264</v>
      </c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>
        <v>23000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>
        <f t="shared" si="10"/>
        <v>23000</v>
      </c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>
        <f>1807.44+1560.77+1828.17+1648.87+1508.12+1221.51+1599.08+1398.65+1088.86</f>
        <v>13661.47</v>
      </c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 t="s">
        <v>43</v>
      </c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 t="s">
        <v>43</v>
      </c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>
        <f t="shared" si="13"/>
        <v>13661.47</v>
      </c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>
        <v>0</v>
      </c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>
        <f t="shared" si="8"/>
        <v>9338.53</v>
      </c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</row>
    <row r="109" spans="1:166" ht="42" customHeight="1">
      <c r="A109" s="52" t="s">
        <v>296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3"/>
      <c r="AK109" s="40" t="s">
        <v>122</v>
      </c>
      <c r="AL109" s="41"/>
      <c r="AM109" s="41"/>
      <c r="AN109" s="41"/>
      <c r="AO109" s="41"/>
      <c r="AP109" s="42"/>
      <c r="AQ109" s="43" t="s">
        <v>265</v>
      </c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>
        <v>16279700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>
        <f t="shared" si="10"/>
        <v>16279700</v>
      </c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>
        <f>1634770.8+1379616.8+1466668.8+1339355.8+1401326+1414881+1464237+1333127+1316247</f>
        <v>12750230.2</v>
      </c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 t="s">
        <v>43</v>
      </c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 t="s">
        <v>43</v>
      </c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>
        <f t="shared" si="13"/>
        <v>12750230.2</v>
      </c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>
        <v>0</v>
      </c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>
        <f t="shared" si="8"/>
        <v>3529469.8000000007</v>
      </c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</row>
    <row r="110" spans="1:166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40" t="s">
        <v>175</v>
      </c>
      <c r="AL110" s="41"/>
      <c r="AM110" s="41"/>
      <c r="AN110" s="41"/>
      <c r="AO110" s="41"/>
      <c r="AP110" s="42"/>
      <c r="AQ110" s="37" t="s">
        <v>266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>
        <f>SUM(BC111:BT112)</f>
        <v>2256800</v>
      </c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>
        <f>SUM(BC110)</f>
        <v>2256800</v>
      </c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>
        <f>SUM(CH111:CW112)</f>
        <v>2256800</v>
      </c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 t="s">
        <v>43</v>
      </c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 t="s">
        <v>43</v>
      </c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>
        <f>CH110</f>
        <v>2256800</v>
      </c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>
        <f>SUM(EK111:EW112)</f>
        <v>0</v>
      </c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>
        <f>SUM(BU110-DX110)</f>
        <v>0</v>
      </c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</row>
    <row r="111" spans="1:166" ht="32.25" customHeight="1">
      <c r="A111" s="88" t="s">
        <v>293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9"/>
      <c r="AK111" s="40" t="s">
        <v>176</v>
      </c>
      <c r="AL111" s="41"/>
      <c r="AM111" s="41"/>
      <c r="AN111" s="41"/>
      <c r="AO111" s="41"/>
      <c r="AP111" s="42"/>
      <c r="AQ111" s="43" t="s">
        <v>267</v>
      </c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>
        <f>17500-364+2292+46</f>
        <v>19474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>
        <f>SUM(BC111)</f>
        <v>19474</v>
      </c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>
        <f>5711.07+1142.21+3426.64+1142.21+2284.43+5711.07+56.37</f>
        <v>19474</v>
      </c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 t="s">
        <v>43</v>
      </c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 t="s">
        <v>43</v>
      </c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>
        <f>CH111</f>
        <v>19474</v>
      </c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>
        <v>0</v>
      </c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>
        <f>SUM(BU111-DX111)</f>
        <v>0</v>
      </c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</row>
    <row r="112" spans="1:166" ht="36.75" customHeight="1">
      <c r="A112" s="52" t="s">
        <v>296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3"/>
      <c r="AK112" s="40" t="s">
        <v>177</v>
      </c>
      <c r="AL112" s="41"/>
      <c r="AM112" s="41"/>
      <c r="AN112" s="41"/>
      <c r="AO112" s="41"/>
      <c r="AP112" s="42"/>
      <c r="AQ112" s="43" t="s">
        <v>268</v>
      </c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>
        <f>1799300+84764+235508+117754</f>
        <v>2237326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>
        <f>SUM(BC112)</f>
        <v>2237326</v>
      </c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>
        <f>588770+117754+353262+117754+353262+588770+117754</f>
        <v>2237326</v>
      </c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 t="s">
        <v>43</v>
      </c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 t="s">
        <v>43</v>
      </c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>
        <f>CH112</f>
        <v>2237326</v>
      </c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>
        <v>0</v>
      </c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>
        <f>SUM(BU112-DX112)</f>
        <v>0</v>
      </c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</row>
    <row r="113" spans="1:166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40" t="s">
        <v>178</v>
      </c>
      <c r="AL113" s="41"/>
      <c r="AM113" s="41"/>
      <c r="AN113" s="41"/>
      <c r="AO113" s="41"/>
      <c r="AP113" s="42"/>
      <c r="AQ113" s="37" t="s">
        <v>269</v>
      </c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f>SUM(BC114:BT115)</f>
        <v>32700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>
        <f t="shared" si="10"/>
        <v>32700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>
        <f>SUM(CH114:CW115)</f>
        <v>31453.17</v>
      </c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 t="s">
        <v>43</v>
      </c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 t="s">
        <v>43</v>
      </c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>
        <f aca="true" t="shared" si="14" ref="DX113:DX125">CH113</f>
        <v>31453.17</v>
      </c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>
        <f>SUM(EK114:EW115)</f>
        <v>0</v>
      </c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>
        <f t="shared" si="8"/>
        <v>1246.8300000000017</v>
      </c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</row>
    <row r="114" spans="1:166" ht="33.75" customHeight="1">
      <c r="A114" s="88" t="s">
        <v>293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40" t="s">
        <v>179</v>
      </c>
      <c r="AL114" s="41"/>
      <c r="AM114" s="41"/>
      <c r="AN114" s="41"/>
      <c r="AO114" s="41"/>
      <c r="AP114" s="42"/>
      <c r="AQ114" s="43" t="s">
        <v>270</v>
      </c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>
        <f>300+14</f>
        <v>314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>
        <f t="shared" si="10"/>
        <v>314</v>
      </c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>
        <f>31.96+24.87+43.4+36.32+31.33+29.57+45.28+29.74+29.7</f>
        <v>302.16999999999996</v>
      </c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 t="s">
        <v>43</v>
      </c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 t="s">
        <v>43</v>
      </c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>
        <f t="shared" si="14"/>
        <v>302.16999999999996</v>
      </c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>
        <v>0</v>
      </c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>
        <f t="shared" si="8"/>
        <v>11.830000000000041</v>
      </c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</row>
    <row r="115" spans="1:166" ht="35.25" customHeight="1">
      <c r="A115" s="52" t="s">
        <v>296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3"/>
      <c r="AK115" s="40" t="s">
        <v>180</v>
      </c>
      <c r="AL115" s="41"/>
      <c r="AM115" s="41"/>
      <c r="AN115" s="41"/>
      <c r="AO115" s="41"/>
      <c r="AP115" s="42"/>
      <c r="AQ115" s="43" t="s">
        <v>272</v>
      </c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>
        <f>32400-14</f>
        <v>32386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>
        <f t="shared" si="10"/>
        <v>32386</v>
      </c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>
        <f>3295+2564+4474+3744+3230+3048+4668+3066+3062</f>
        <v>31151</v>
      </c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 t="s">
        <v>43</v>
      </c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 t="s">
        <v>43</v>
      </c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>
        <f t="shared" si="14"/>
        <v>31151</v>
      </c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>
        <v>0</v>
      </c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>
        <f t="shared" si="8"/>
        <v>1235</v>
      </c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</row>
    <row r="116" spans="1:166" ht="1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40" t="s">
        <v>181</v>
      </c>
      <c r="AL116" s="41"/>
      <c r="AM116" s="41"/>
      <c r="AN116" s="41"/>
      <c r="AO116" s="41"/>
      <c r="AP116" s="42"/>
      <c r="AQ116" s="37" t="s">
        <v>271</v>
      </c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>
        <f>SUM(BC117:BT118)</f>
        <v>13700</v>
      </c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>
        <f t="shared" si="10"/>
        <v>13700</v>
      </c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>
        <f>SUM(CH117:CW118)</f>
        <v>6543.74</v>
      </c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 t="s">
        <v>43</v>
      </c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 t="s">
        <v>43</v>
      </c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>
        <f t="shared" si="14"/>
        <v>6543.74</v>
      </c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>
        <f>SUM(EK117:EW118)</f>
        <v>0</v>
      </c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>
        <f>BC116-DX116</f>
        <v>7156.26</v>
      </c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</row>
    <row r="117" spans="1:166" ht="37.5" customHeight="1">
      <c r="A117" s="88" t="s">
        <v>293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9"/>
      <c r="AK117" s="40" t="s">
        <v>182</v>
      </c>
      <c r="AL117" s="41"/>
      <c r="AM117" s="41"/>
      <c r="AN117" s="41"/>
      <c r="AO117" s="41"/>
      <c r="AP117" s="42"/>
      <c r="AQ117" s="43" t="s">
        <v>273</v>
      </c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>
        <v>100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>
        <f t="shared" si="10"/>
        <v>100</v>
      </c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>
        <f>15.82+31.96+15.09</f>
        <v>62.870000000000005</v>
      </c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 t="s">
        <v>43</v>
      </c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 t="s">
        <v>43</v>
      </c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>
        <f t="shared" si="14"/>
        <v>62.870000000000005</v>
      </c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>
        <v>0</v>
      </c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>
        <f>BC117-DX117</f>
        <v>37.129999999999995</v>
      </c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</row>
    <row r="118" spans="1:166" ht="36" customHeight="1">
      <c r="A118" s="52" t="s">
        <v>296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3"/>
      <c r="AK118" s="40" t="s">
        <v>183</v>
      </c>
      <c r="AL118" s="41"/>
      <c r="AM118" s="41"/>
      <c r="AN118" s="41"/>
      <c r="AO118" s="41"/>
      <c r="AP118" s="42"/>
      <c r="AQ118" s="43" t="s">
        <v>274</v>
      </c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>
        <v>13600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>
        <f t="shared" si="10"/>
        <v>13600</v>
      </c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>
        <f>1630.73+3294.4+1555.74</f>
        <v>6480.87</v>
      </c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 t="s">
        <v>43</v>
      </c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 t="s">
        <v>43</v>
      </c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>
        <f t="shared" si="14"/>
        <v>6480.87</v>
      </c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>
        <v>0</v>
      </c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>
        <f>BC118-DX118</f>
        <v>7119.13</v>
      </c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</row>
    <row r="119" spans="1:166" ht="36" customHeight="1">
      <c r="A119" s="38" t="s">
        <v>296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 t="s">
        <v>184</v>
      </c>
      <c r="AL119" s="41"/>
      <c r="AM119" s="41"/>
      <c r="AN119" s="41"/>
      <c r="AO119" s="41"/>
      <c r="AP119" s="42"/>
      <c r="AQ119" s="37" t="s">
        <v>321</v>
      </c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v>20000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>
        <f>SUM(BC119)</f>
        <v>20000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v>20000</v>
      </c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43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 t="s">
        <v>43</v>
      </c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>
        <f>CH119</f>
        <v>20000</v>
      </c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0</v>
      </c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>
        <f>SUM(BU119-DX119)</f>
        <v>0</v>
      </c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36" customHeight="1">
      <c r="A120" s="38" t="s">
        <v>296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 t="s">
        <v>185</v>
      </c>
      <c r="AL120" s="41"/>
      <c r="AM120" s="41"/>
      <c r="AN120" s="41"/>
      <c r="AO120" s="41"/>
      <c r="AP120" s="42"/>
      <c r="AQ120" s="37" t="s">
        <v>275</v>
      </c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>
        <v>265400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>
        <f t="shared" si="10"/>
        <v>265400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f>13576.36+9839.48+11217+10528.24+10528.24+10528.24+29830.01+10528.24</f>
        <v>106575.81</v>
      </c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43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 t="s">
        <v>43</v>
      </c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>
        <f t="shared" si="14"/>
        <v>106575.81</v>
      </c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>
        <v>0</v>
      </c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>
        <f t="shared" si="8"/>
        <v>158824.19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46.5" customHeight="1">
      <c r="A121" s="38" t="s">
        <v>296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40" t="s">
        <v>186</v>
      </c>
      <c r="AL121" s="41"/>
      <c r="AM121" s="41"/>
      <c r="AN121" s="41"/>
      <c r="AO121" s="41"/>
      <c r="AP121" s="42"/>
      <c r="AQ121" s="96" t="s">
        <v>276</v>
      </c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37">
        <v>8252300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>
        <f t="shared" si="10"/>
        <v>8252300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f>1225230.98+1195432.66+804055.96+869803.44+719772.38+665421.84+823021.35</f>
        <v>6302738.609999999</v>
      </c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43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 t="s">
        <v>43</v>
      </c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>
        <f t="shared" si="14"/>
        <v>6302738.609999999</v>
      </c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>
        <v>0</v>
      </c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>
        <f t="shared" si="8"/>
        <v>1949561.3900000006</v>
      </c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40" t="s">
        <v>187</v>
      </c>
      <c r="AL122" s="41"/>
      <c r="AM122" s="41"/>
      <c r="AN122" s="41"/>
      <c r="AO122" s="41"/>
      <c r="AP122" s="42"/>
      <c r="AQ122" s="96" t="s">
        <v>319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37">
        <f>SUM(BC123:BT124)</f>
        <v>7496300</v>
      </c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>
        <f t="shared" si="10"/>
        <v>7496300</v>
      </c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>
        <f>SUM(CH123:CW124)</f>
        <v>5598573.49</v>
      </c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 t="s">
        <v>43</v>
      </c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 t="s">
        <v>43</v>
      </c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>
        <f t="shared" si="14"/>
        <v>5598573.49</v>
      </c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>
        <f>SUM(EK123:EW124)</f>
        <v>0</v>
      </c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>
        <f t="shared" si="8"/>
        <v>1897726.5099999998</v>
      </c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</row>
    <row r="123" spans="1:166" ht="43.5" customHeight="1">
      <c r="A123" s="88" t="s">
        <v>293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9"/>
      <c r="AK123" s="40" t="s">
        <v>316</v>
      </c>
      <c r="AL123" s="41"/>
      <c r="AM123" s="41"/>
      <c r="AN123" s="41"/>
      <c r="AO123" s="41"/>
      <c r="AP123" s="42"/>
      <c r="AQ123" s="95" t="s">
        <v>277</v>
      </c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43">
        <f>72000+79294</f>
        <v>151294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>
        <f>SUM(BC123)</f>
        <v>151294</v>
      </c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>
        <f>11038.78+13527.88+11884.74+11728.21+13182.45+13714.04+13196.03+12190.89+522.96</f>
        <v>100985.98000000001</v>
      </c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 t="s">
        <v>43</v>
      </c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 t="s">
        <v>43</v>
      </c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>
        <f t="shared" si="14"/>
        <v>100985.98000000001</v>
      </c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>
        <v>0</v>
      </c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>
        <f t="shared" si="8"/>
        <v>50308.01999999999</v>
      </c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</row>
    <row r="124" spans="1:166" ht="33.75" customHeight="1">
      <c r="A124" s="52" t="s">
        <v>296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3"/>
      <c r="AK124" s="40" t="s">
        <v>188</v>
      </c>
      <c r="AL124" s="41"/>
      <c r="AM124" s="41"/>
      <c r="AN124" s="41"/>
      <c r="AO124" s="41"/>
      <c r="AP124" s="42"/>
      <c r="AQ124" s="95" t="s">
        <v>278</v>
      </c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43">
        <f>7424300-79294</f>
        <v>7345006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>
        <f t="shared" si="10"/>
        <v>7345006</v>
      </c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>
        <f>1231262.3+1301383.24+13660.78+554959.96+544015.24+640643.01+591370.87+620292.11</f>
        <v>5497587.51</v>
      </c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 t="s">
        <v>43</v>
      </c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 t="s">
        <v>43</v>
      </c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>
        <f t="shared" si="14"/>
        <v>5497587.51</v>
      </c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>
        <v>0</v>
      </c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>
        <f t="shared" si="8"/>
        <v>1847418.4900000002</v>
      </c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</row>
    <row r="125" spans="1:166" ht="33.75" customHeight="1" thickBot="1">
      <c r="A125" s="38" t="s">
        <v>296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9"/>
      <c r="AK125" s="40" t="s">
        <v>189</v>
      </c>
      <c r="AL125" s="41"/>
      <c r="AM125" s="41"/>
      <c r="AN125" s="41"/>
      <c r="AO125" s="41"/>
      <c r="AP125" s="42"/>
      <c r="AQ125" s="37" t="s">
        <v>317</v>
      </c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>
        <f>13157312.17+1685690.86+175.38+4934621.59</f>
        <v>19777800</v>
      </c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>
        <f>SUM(BC125)</f>
        <v>19777800</v>
      </c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>
        <f>1685690.86+4934621.59+1830755.23+1637626.46+1764192.59+1707592+1834950.5</f>
        <v>15395429.23</v>
      </c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 t="s">
        <v>43</v>
      </c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 t="s">
        <v>43</v>
      </c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>
        <f t="shared" si="14"/>
        <v>15395429.23</v>
      </c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>
        <v>0</v>
      </c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>
        <f>SUM(BU125-DX125)</f>
        <v>4382370.77</v>
      </c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 thickBo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40" t="s">
        <v>190</v>
      </c>
      <c r="AL126" s="41"/>
      <c r="AM126" s="41"/>
      <c r="AN126" s="41"/>
      <c r="AO126" s="41"/>
      <c r="AP126" s="42"/>
      <c r="AQ126" s="57" t="s">
        <v>279</v>
      </c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44">
        <f>SUM(BC127:BT129)</f>
        <v>337000</v>
      </c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57">
        <f t="shared" si="10"/>
        <v>337000</v>
      </c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44">
        <f>SUM(CH127:CW129)</f>
        <v>227443.96000000002</v>
      </c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 t="s">
        <v>43</v>
      </c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 t="s">
        <v>43</v>
      </c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57">
        <f aca="true" t="shared" si="15" ref="DX126:DX137">SUM(CH126)</f>
        <v>227443.96000000002</v>
      </c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44">
        <f>SUM(EK127:EW129)</f>
        <v>0</v>
      </c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57">
        <f t="shared" si="8"/>
        <v>109556.03999999998</v>
      </c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81"/>
    </row>
    <row r="127" spans="1:166" ht="26.25" customHeight="1" thickBot="1">
      <c r="A127" s="88" t="s">
        <v>297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40" t="s">
        <v>315</v>
      </c>
      <c r="AL127" s="41"/>
      <c r="AM127" s="41"/>
      <c r="AN127" s="41"/>
      <c r="AO127" s="41"/>
      <c r="AP127" s="42"/>
      <c r="AQ127" s="54" t="s">
        <v>280</v>
      </c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48">
        <v>231100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54">
        <f t="shared" si="10"/>
        <v>231100</v>
      </c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48">
        <f>7000+11585.42+17378.13+29481.98+7000+17754.28+22635.03+42365.81+6492.69</f>
        <v>161693.34</v>
      </c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 t="s">
        <v>43</v>
      </c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 t="s">
        <v>43</v>
      </c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54">
        <f t="shared" si="15"/>
        <v>161693.34</v>
      </c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48">
        <v>0</v>
      </c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54">
        <f aca="true" t="shared" si="16" ref="EX127:EX136">SUM(BU127-DX127)</f>
        <v>69406.66</v>
      </c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90"/>
    </row>
    <row r="128" spans="1:166" ht="38.25" customHeight="1" thickBot="1">
      <c r="A128" s="88" t="s">
        <v>298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40" t="s">
        <v>191</v>
      </c>
      <c r="AL128" s="41"/>
      <c r="AM128" s="41"/>
      <c r="AN128" s="41"/>
      <c r="AO128" s="41"/>
      <c r="AP128" s="42"/>
      <c r="AQ128" s="54" t="s">
        <v>281</v>
      </c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48">
        <v>36100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54">
        <f t="shared" si="10"/>
        <v>36100</v>
      </c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48">
        <f>9027.6+9027.6</f>
        <v>18055.2</v>
      </c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 t="s">
        <v>43</v>
      </c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 t="s">
        <v>43</v>
      </c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54">
        <f t="shared" si="15"/>
        <v>18055.2</v>
      </c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48">
        <v>0</v>
      </c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54">
        <f t="shared" si="16"/>
        <v>18044.8</v>
      </c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90"/>
    </row>
    <row r="129" spans="1:166" ht="52.5" customHeight="1" thickBot="1">
      <c r="A129" s="88" t="s">
        <v>299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40" t="s">
        <v>192</v>
      </c>
      <c r="AL129" s="41"/>
      <c r="AM129" s="41"/>
      <c r="AN129" s="41"/>
      <c r="AO129" s="41"/>
      <c r="AP129" s="42"/>
      <c r="AQ129" s="54" t="s">
        <v>282</v>
      </c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48">
        <v>69800</v>
      </c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54">
        <f t="shared" si="10"/>
        <v>69800</v>
      </c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48">
        <f>3498.8+5248.2+10449.58+5361.79+5361.79+6274.29+11500.97</f>
        <v>47695.420000000006</v>
      </c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 t="s">
        <v>43</v>
      </c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 t="s">
        <v>43</v>
      </c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54">
        <f t="shared" si="15"/>
        <v>47695.420000000006</v>
      </c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48">
        <v>0</v>
      </c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54">
        <f t="shared" si="16"/>
        <v>22104.579999999994</v>
      </c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90"/>
    </row>
    <row r="130" spans="1:166" ht="39" customHeight="1" thickBot="1">
      <c r="A130" s="103" t="s">
        <v>293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4"/>
      <c r="AK130" s="40" t="s">
        <v>197</v>
      </c>
      <c r="AL130" s="41"/>
      <c r="AM130" s="41"/>
      <c r="AN130" s="41"/>
      <c r="AO130" s="41"/>
      <c r="AP130" s="42"/>
      <c r="AQ130" s="57" t="s">
        <v>283</v>
      </c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44">
        <f>186500-18685-10805</f>
        <v>157010</v>
      </c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57">
        <f t="shared" si="10"/>
        <v>157010</v>
      </c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44">
        <f>28301.38+13176.73+11330.49+5622.84+6770.08+4383.09+9602.98+1130.49</f>
        <v>80318.08</v>
      </c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 t="s">
        <v>43</v>
      </c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 t="s">
        <v>43</v>
      </c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57">
        <f t="shared" si="15"/>
        <v>80318.08</v>
      </c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44">
        <v>0</v>
      </c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57">
        <f t="shared" si="16"/>
        <v>76691.92</v>
      </c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81"/>
    </row>
    <row r="131" spans="1:166" ht="15" customHeight="1" thickBo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40" t="s">
        <v>193</v>
      </c>
      <c r="AL131" s="41"/>
      <c r="AM131" s="41"/>
      <c r="AN131" s="41"/>
      <c r="AO131" s="41"/>
      <c r="AP131" s="42"/>
      <c r="AQ131" s="57" t="s">
        <v>284</v>
      </c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44">
        <f>SUM(BC132:BT136)</f>
        <v>8819300</v>
      </c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57">
        <f t="shared" si="10"/>
        <v>8819300</v>
      </c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44">
        <f>SUM(CH132:CW136)</f>
        <v>5756649.449999999</v>
      </c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 t="s">
        <v>43</v>
      </c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 t="s">
        <v>43</v>
      </c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57">
        <f t="shared" si="15"/>
        <v>5756649.449999999</v>
      </c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44">
        <f>SUM(EK132:EW136)</f>
        <v>0</v>
      </c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57">
        <f t="shared" si="16"/>
        <v>3062650.5500000007</v>
      </c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81"/>
    </row>
    <row r="132" spans="1:166" ht="24.75" customHeight="1" thickBot="1">
      <c r="A132" s="88" t="s">
        <v>297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40" t="s">
        <v>194</v>
      </c>
      <c r="AL132" s="41"/>
      <c r="AM132" s="41"/>
      <c r="AN132" s="41"/>
      <c r="AO132" s="41"/>
      <c r="AP132" s="42"/>
      <c r="AQ132" s="194" t="s">
        <v>285</v>
      </c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48">
        <v>5886600</v>
      </c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54">
        <f>SUM(BC132)</f>
        <v>5886600</v>
      </c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48">
        <f>167200+477680.86+501990.24+724668.23+218447.38+454796.21+485106.01+482819.74+422591.59</f>
        <v>3935300.26</v>
      </c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 t="s">
        <v>43</v>
      </c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 t="s">
        <v>43</v>
      </c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54">
        <f t="shared" si="15"/>
        <v>3935300.26</v>
      </c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48">
        <v>0</v>
      </c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54">
        <f t="shared" si="16"/>
        <v>1951299.7400000002</v>
      </c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90"/>
    </row>
    <row r="133" spans="1:166" ht="36.75" customHeight="1" thickBot="1">
      <c r="A133" s="88" t="s">
        <v>298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40" t="s">
        <v>195</v>
      </c>
      <c r="AL133" s="41"/>
      <c r="AM133" s="41"/>
      <c r="AN133" s="41"/>
      <c r="AO133" s="41"/>
      <c r="AP133" s="42"/>
      <c r="AQ133" s="54" t="s">
        <v>286</v>
      </c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48">
        <v>603800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54">
        <f>SUM(BC133)</f>
        <v>603800</v>
      </c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48">
        <f>50+5003.6+145142.26+9292.8+140198.4</f>
        <v>299687.06</v>
      </c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 t="s">
        <v>43</v>
      </c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 t="s">
        <v>43</v>
      </c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54">
        <f t="shared" si="15"/>
        <v>299687.06</v>
      </c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48">
        <v>0</v>
      </c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54">
        <f t="shared" si="16"/>
        <v>304112.94</v>
      </c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90"/>
    </row>
    <row r="134" spans="1:166" ht="49.5" customHeight="1" thickBot="1">
      <c r="A134" s="88" t="s">
        <v>299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40" t="s">
        <v>198</v>
      </c>
      <c r="AL134" s="41"/>
      <c r="AM134" s="41"/>
      <c r="AN134" s="41"/>
      <c r="AO134" s="41"/>
      <c r="AP134" s="42"/>
      <c r="AQ134" s="193" t="s">
        <v>287</v>
      </c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48">
        <v>1753600</v>
      </c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54">
        <f>SUM(BC134)</f>
        <v>1753600</v>
      </c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48">
        <f>126788.91+138278.73+279466.13+138037.25+142427.94+130613.65+138959.54</f>
        <v>1094572.15</v>
      </c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 t="s">
        <v>43</v>
      </c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 t="s">
        <v>43</v>
      </c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54">
        <f t="shared" si="15"/>
        <v>1094572.15</v>
      </c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48">
        <v>0</v>
      </c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54">
        <f t="shared" si="16"/>
        <v>659027.8500000001</v>
      </c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90"/>
    </row>
    <row r="135" spans="1:166" ht="37.5" customHeight="1" thickBot="1">
      <c r="A135" s="88" t="s">
        <v>293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9"/>
      <c r="AK135" s="40" t="s">
        <v>318</v>
      </c>
      <c r="AL135" s="41"/>
      <c r="AM135" s="41"/>
      <c r="AN135" s="41"/>
      <c r="AO135" s="41"/>
      <c r="AP135" s="42"/>
      <c r="AQ135" s="48" t="s">
        <v>288</v>
      </c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>
        <v>563300</v>
      </c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54">
        <f>SUM(BC135)</f>
        <v>563300</v>
      </c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48">
        <f>64893.83+42206.45+50765.46+33832.59+16035.1+63394.9+47764.53+34709.86+67817.11</f>
        <v>421419.82999999996</v>
      </c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 t="s">
        <v>43</v>
      </c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 t="s">
        <v>43</v>
      </c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54">
        <f t="shared" si="15"/>
        <v>421419.82999999996</v>
      </c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48">
        <v>0</v>
      </c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54">
        <f t="shared" si="16"/>
        <v>141880.17000000004</v>
      </c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90"/>
    </row>
    <row r="136" spans="1:166" ht="15" customHeight="1" thickBot="1">
      <c r="A136" s="195" t="s">
        <v>300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40" t="s">
        <v>320</v>
      </c>
      <c r="AL136" s="41"/>
      <c r="AM136" s="41"/>
      <c r="AN136" s="41"/>
      <c r="AO136" s="41"/>
      <c r="AP136" s="42"/>
      <c r="AQ136" s="196" t="s">
        <v>289</v>
      </c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48">
        <v>12000</v>
      </c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54">
        <f>SUM(BC136)</f>
        <v>12000</v>
      </c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48">
        <f>402+2275.05+2591.1+402</f>
        <v>5670.15</v>
      </c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 t="s">
        <v>43</v>
      </c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 t="s">
        <v>43</v>
      </c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54">
        <f t="shared" si="15"/>
        <v>5670.15</v>
      </c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48">
        <v>0</v>
      </c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54">
        <f t="shared" si="16"/>
        <v>6329.85</v>
      </c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90"/>
    </row>
    <row r="137" spans="1:166" ht="26.25" customHeight="1" thickBot="1">
      <c r="A137" s="188" t="s">
        <v>104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9"/>
      <c r="AK137" s="190" t="s">
        <v>105</v>
      </c>
      <c r="AL137" s="191"/>
      <c r="AM137" s="191"/>
      <c r="AN137" s="191"/>
      <c r="AO137" s="191"/>
      <c r="AP137" s="191"/>
      <c r="AQ137" s="192" t="s">
        <v>33</v>
      </c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86" t="s">
        <v>33</v>
      </c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 t="s">
        <v>33</v>
      </c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>
        <f>SUM(-Лист2!BC8)</f>
        <v>-1109849.7000000179</v>
      </c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 t="s">
        <v>43</v>
      </c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 t="s">
        <v>43</v>
      </c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>
        <f t="shared" si="15"/>
        <v>-1109849.7000000179</v>
      </c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 t="s">
        <v>33</v>
      </c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 t="s">
        <v>33</v>
      </c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7"/>
    </row>
    <row r="138" spans="1:166" ht="26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7"/>
      <c r="AL138" s="7"/>
      <c r="AM138" s="7"/>
      <c r="AN138" s="7"/>
      <c r="AO138" s="7"/>
      <c r="AP138" s="7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</row>
    <row r="139" spans="1:166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14"/>
      <c r="BC139" s="7"/>
      <c r="BD139" s="7"/>
      <c r="BE139" s="7"/>
      <c r="BF139" s="7"/>
      <c r="BG139" s="7"/>
      <c r="BH139" s="7"/>
      <c r="BI139" s="7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8:60" ht="14.25" customHeight="1"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3"/>
      <c r="AG174" s="3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</sheetData>
  <sheetProtection/>
  <mergeCells count="1178">
    <mergeCell ref="EK57:EW57"/>
    <mergeCell ref="EX57:FJ57"/>
    <mergeCell ref="BK21:CE21"/>
    <mergeCell ref="CH58:CW58"/>
    <mergeCell ref="CF21:CV21"/>
    <mergeCell ref="CW21:DM21"/>
    <mergeCell ref="CW27:DM27"/>
    <mergeCell ref="AK57:AP57"/>
    <mergeCell ref="AQ57:BB57"/>
    <mergeCell ref="BC57:BT57"/>
    <mergeCell ref="CH57:CW57"/>
    <mergeCell ref="CX57:DJ57"/>
    <mergeCell ref="ET31:FJ31"/>
    <mergeCell ref="EX60:FJ60"/>
    <mergeCell ref="EK63:EW63"/>
    <mergeCell ref="EK61:EW61"/>
    <mergeCell ref="EX62:FJ62"/>
    <mergeCell ref="EX52:FJ52"/>
    <mergeCell ref="EK51:EW51"/>
    <mergeCell ref="EK50:EW50"/>
    <mergeCell ref="EK52:EW52"/>
    <mergeCell ref="EX51:FJ51"/>
    <mergeCell ref="EX136:FJ136"/>
    <mergeCell ref="DK56:DW56"/>
    <mergeCell ref="EX54:FJ54"/>
    <mergeCell ref="EK54:EW54"/>
    <mergeCell ref="DX56:EJ56"/>
    <mergeCell ref="EK56:EW56"/>
    <mergeCell ref="EX63:FJ63"/>
    <mergeCell ref="DK54:DW54"/>
    <mergeCell ref="DX54:EJ54"/>
    <mergeCell ref="DK61:DW61"/>
    <mergeCell ref="CH136:CW136"/>
    <mergeCell ref="AK72:AP72"/>
    <mergeCell ref="A136:AJ136"/>
    <mergeCell ref="AK136:AP136"/>
    <mergeCell ref="AQ136:BB136"/>
    <mergeCell ref="EK136:EW136"/>
    <mergeCell ref="CX136:DJ136"/>
    <mergeCell ref="DK136:DW136"/>
    <mergeCell ref="DX136:EJ136"/>
    <mergeCell ref="DK111:DW111"/>
    <mergeCell ref="CH61:CW61"/>
    <mergeCell ref="A71:AJ71"/>
    <mergeCell ref="AK71:AP71"/>
    <mergeCell ref="AQ71:BB71"/>
    <mergeCell ref="BC71:BT71"/>
    <mergeCell ref="BU71:CG71"/>
    <mergeCell ref="A66:AJ66"/>
    <mergeCell ref="A69:AJ69"/>
    <mergeCell ref="CH62:CW62"/>
    <mergeCell ref="BC65:BT65"/>
    <mergeCell ref="DK55:DW55"/>
    <mergeCell ref="EK55:EW55"/>
    <mergeCell ref="DX62:EJ62"/>
    <mergeCell ref="DX63:EJ63"/>
    <mergeCell ref="EK59:EW59"/>
    <mergeCell ref="CX56:DJ56"/>
    <mergeCell ref="CX62:DJ62"/>
    <mergeCell ref="CX60:DJ60"/>
    <mergeCell ref="DK57:DW57"/>
    <mergeCell ref="DX57:EJ57"/>
    <mergeCell ref="EX111:FJ111"/>
    <mergeCell ref="EX112:FJ112"/>
    <mergeCell ref="EK110:EW110"/>
    <mergeCell ref="EX110:FJ110"/>
    <mergeCell ref="EK109:EW109"/>
    <mergeCell ref="EX109:FJ109"/>
    <mergeCell ref="EK111:EW111"/>
    <mergeCell ref="BC136:BT136"/>
    <mergeCell ref="BU136:CG136"/>
    <mergeCell ref="DX111:EJ111"/>
    <mergeCell ref="DX109:EJ109"/>
    <mergeCell ref="DX108:EJ108"/>
    <mergeCell ref="DK104:DW104"/>
    <mergeCell ref="CX112:DJ112"/>
    <mergeCell ref="DK112:DW112"/>
    <mergeCell ref="DK110:DW110"/>
    <mergeCell ref="DX110:EJ110"/>
    <mergeCell ref="DX104:EJ104"/>
    <mergeCell ref="BU112:CG112"/>
    <mergeCell ref="CH112:CW112"/>
    <mergeCell ref="AK56:AP56"/>
    <mergeCell ref="AQ56:BB56"/>
    <mergeCell ref="BC56:BT56"/>
    <mergeCell ref="BU56:CG56"/>
    <mergeCell ref="CH56:CW56"/>
    <mergeCell ref="CH107:CW107"/>
    <mergeCell ref="CH106:CW106"/>
    <mergeCell ref="CH110:CW110"/>
    <mergeCell ref="CH109:CW109"/>
    <mergeCell ref="CH108:CW108"/>
    <mergeCell ref="CX108:DJ108"/>
    <mergeCell ref="DK108:DW108"/>
    <mergeCell ref="CX110:DJ110"/>
    <mergeCell ref="BU110:CG110"/>
    <mergeCell ref="AQ116:BB116"/>
    <mergeCell ref="BC116:BT116"/>
    <mergeCell ref="A111:AJ111"/>
    <mergeCell ref="AK115:AP115"/>
    <mergeCell ref="BU111:CG111"/>
    <mergeCell ref="A112:AJ112"/>
    <mergeCell ref="AK112:AP112"/>
    <mergeCell ref="AQ112:BB112"/>
    <mergeCell ref="BC112:BT112"/>
    <mergeCell ref="CH111:CW111"/>
    <mergeCell ref="EK112:EW112"/>
    <mergeCell ref="DX112:EJ112"/>
    <mergeCell ref="CX111:DJ111"/>
    <mergeCell ref="BU116:CG116"/>
    <mergeCell ref="DX116:EJ116"/>
    <mergeCell ref="EK116:EW116"/>
    <mergeCell ref="CH114:CW114"/>
    <mergeCell ref="CH113:CW113"/>
    <mergeCell ref="CX113:DJ113"/>
    <mergeCell ref="AQ115:BB115"/>
    <mergeCell ref="BC115:BT115"/>
    <mergeCell ref="BU115:CG115"/>
    <mergeCell ref="A114:AJ114"/>
    <mergeCell ref="AQ114:BB114"/>
    <mergeCell ref="BC114:BT114"/>
    <mergeCell ref="BU114:CG114"/>
    <mergeCell ref="A116:AJ116"/>
    <mergeCell ref="AK116:AP116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A113:AJ113"/>
    <mergeCell ref="AK113:AP113"/>
    <mergeCell ref="AQ113:BB113"/>
    <mergeCell ref="BC113:BT113"/>
    <mergeCell ref="CX118:DJ118"/>
    <mergeCell ref="EX118:FJ118"/>
    <mergeCell ref="CH117:CW117"/>
    <mergeCell ref="CH116:CW116"/>
    <mergeCell ref="EK118:EW118"/>
    <mergeCell ref="DX117:EJ117"/>
    <mergeCell ref="CX116:DJ116"/>
    <mergeCell ref="A118:AJ118"/>
    <mergeCell ref="AK118:AP118"/>
    <mergeCell ref="AQ118:BB118"/>
    <mergeCell ref="BC118:BT118"/>
    <mergeCell ref="BU118:CG118"/>
    <mergeCell ref="CH118:CW118"/>
    <mergeCell ref="BU133:CG133"/>
    <mergeCell ref="CH133:CW133"/>
    <mergeCell ref="CH132:CW132"/>
    <mergeCell ref="CH131:CW131"/>
    <mergeCell ref="BU132:CG132"/>
    <mergeCell ref="BC131:BT131"/>
    <mergeCell ref="BU131:CG131"/>
    <mergeCell ref="EX113:FJ113"/>
    <mergeCell ref="CX109:DJ109"/>
    <mergeCell ref="DK109:DW109"/>
    <mergeCell ref="EX58:FJ58"/>
    <mergeCell ref="DN27:ED27"/>
    <mergeCell ref="EE27:ES27"/>
    <mergeCell ref="ET27:FJ27"/>
    <mergeCell ref="DN28:ED28"/>
    <mergeCell ref="EX100:FJ100"/>
    <mergeCell ref="EX85:FJ85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31:FJ131"/>
    <mergeCell ref="EX133:FJ133"/>
    <mergeCell ref="CH115:CW115"/>
    <mergeCell ref="CX115:DJ115"/>
    <mergeCell ref="DK115:DW115"/>
    <mergeCell ref="DX115:EJ115"/>
    <mergeCell ref="EK115:EW115"/>
    <mergeCell ref="EK133:EW133"/>
    <mergeCell ref="DX132:EJ132"/>
    <mergeCell ref="EX128:FJ128"/>
    <mergeCell ref="DK113:DW113"/>
    <mergeCell ref="DX113:EJ113"/>
    <mergeCell ref="EK113:EW113"/>
    <mergeCell ref="CX114:DJ114"/>
    <mergeCell ref="DK114:DW114"/>
    <mergeCell ref="DX114:EJ114"/>
    <mergeCell ref="EK114:EW114"/>
    <mergeCell ref="BU113:CG113"/>
    <mergeCell ref="A109:AJ109"/>
    <mergeCell ref="AK109:AP109"/>
    <mergeCell ref="AQ109:BB109"/>
    <mergeCell ref="BC109:BT109"/>
    <mergeCell ref="BU109:CG109"/>
    <mergeCell ref="A110:AJ110"/>
    <mergeCell ref="AK110:AP110"/>
    <mergeCell ref="AQ110:BB110"/>
    <mergeCell ref="BC110:BT110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EK106:EW106"/>
    <mergeCell ref="EX106:FJ106"/>
    <mergeCell ref="CX105:DJ105"/>
    <mergeCell ref="DK105:DW105"/>
    <mergeCell ref="DX105:EJ105"/>
    <mergeCell ref="EK105:EW105"/>
    <mergeCell ref="EX105:FJ105"/>
    <mergeCell ref="CX106:DJ106"/>
    <mergeCell ref="DK106:DW106"/>
    <mergeCell ref="DX106:EJ106"/>
    <mergeCell ref="EK104:EW104"/>
    <mergeCell ref="EX104:FJ104"/>
    <mergeCell ref="A106:AJ106"/>
    <mergeCell ref="AK106:AP106"/>
    <mergeCell ref="AQ106:BB106"/>
    <mergeCell ref="BC106:BT106"/>
    <mergeCell ref="BU106:CG106"/>
    <mergeCell ref="A105:AJ105"/>
    <mergeCell ref="BU105:CG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CH105:CW105"/>
    <mergeCell ref="A103:AJ103"/>
    <mergeCell ref="AK103:AP103"/>
    <mergeCell ref="AQ103:BB103"/>
    <mergeCell ref="BC103:BT103"/>
    <mergeCell ref="BU103:CG103"/>
    <mergeCell ref="CH103:CW103"/>
    <mergeCell ref="BC102:BT102"/>
    <mergeCell ref="BU102:CG102"/>
    <mergeCell ref="A101:AJ101"/>
    <mergeCell ref="AK101:AP101"/>
    <mergeCell ref="AQ101:BB101"/>
    <mergeCell ref="BC101:BT101"/>
    <mergeCell ref="CH101:CW101"/>
    <mergeCell ref="CX101:DJ101"/>
    <mergeCell ref="DK101:DW101"/>
    <mergeCell ref="DX101:EJ101"/>
    <mergeCell ref="BU101:CG101"/>
    <mergeCell ref="EX102:FJ102"/>
    <mergeCell ref="EX101:FJ101"/>
    <mergeCell ref="EK101:EW101"/>
    <mergeCell ref="CH102:CW102"/>
    <mergeCell ref="CX102:DJ102"/>
    <mergeCell ref="EK100:EW100"/>
    <mergeCell ref="EX103:FJ103"/>
    <mergeCell ref="DK102:DW102"/>
    <mergeCell ref="DX102:EJ102"/>
    <mergeCell ref="EK102:EW102"/>
    <mergeCell ref="CX103:DJ103"/>
    <mergeCell ref="EK103:EW103"/>
    <mergeCell ref="DX103:EJ103"/>
    <mergeCell ref="DK103:DW103"/>
    <mergeCell ref="AK100:AP100"/>
    <mergeCell ref="AQ100:BB100"/>
    <mergeCell ref="BC100:BT100"/>
    <mergeCell ref="BU100:CG100"/>
    <mergeCell ref="BC99:BT99"/>
    <mergeCell ref="BU99:CG99"/>
    <mergeCell ref="EK98:EW98"/>
    <mergeCell ref="EX98:FJ98"/>
    <mergeCell ref="CX99:DJ99"/>
    <mergeCell ref="DK99:DW99"/>
    <mergeCell ref="DX99:EJ99"/>
    <mergeCell ref="CH100:CW100"/>
    <mergeCell ref="CH99:CW99"/>
    <mergeCell ref="CX100:DJ100"/>
    <mergeCell ref="DK100:DW100"/>
    <mergeCell ref="DX100:EJ100"/>
    <mergeCell ref="EK99:EW99"/>
    <mergeCell ref="EK97:EW97"/>
    <mergeCell ref="EX97:FJ97"/>
    <mergeCell ref="A98:AJ98"/>
    <mergeCell ref="AK98:AP98"/>
    <mergeCell ref="AQ98:BB98"/>
    <mergeCell ref="BC98:BT98"/>
    <mergeCell ref="BU98:CG98"/>
    <mergeCell ref="EX99:FJ99"/>
    <mergeCell ref="CX98:DJ98"/>
    <mergeCell ref="CH98:CW98"/>
    <mergeCell ref="DK97:DW97"/>
    <mergeCell ref="DK96:DW96"/>
    <mergeCell ref="DX96:EJ96"/>
    <mergeCell ref="EK96:EW96"/>
    <mergeCell ref="EX96:FJ96"/>
    <mergeCell ref="CX97:DJ97"/>
    <mergeCell ref="DX97:EJ97"/>
    <mergeCell ref="DK98:DW98"/>
    <mergeCell ref="DX98:EJ98"/>
    <mergeCell ref="A97:AJ97"/>
    <mergeCell ref="AK97:AP97"/>
    <mergeCell ref="AQ97:BB97"/>
    <mergeCell ref="BC97:BT97"/>
    <mergeCell ref="BU97:CG97"/>
    <mergeCell ref="CH97:CW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X95:E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DK91:DW91"/>
    <mergeCell ref="DX91:EJ91"/>
    <mergeCell ref="EK91:EW91"/>
    <mergeCell ref="EX91:FJ91"/>
    <mergeCell ref="AQ92:BB92"/>
    <mergeCell ref="BC92:BT92"/>
    <mergeCell ref="BU92:CG92"/>
    <mergeCell ref="CH92:CW92"/>
    <mergeCell ref="CX92:DJ92"/>
    <mergeCell ref="DX92:EJ92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CH91:CW91"/>
    <mergeCell ref="CX91:DJ91"/>
    <mergeCell ref="EX88:FJ88"/>
    <mergeCell ref="CH88:CW88"/>
    <mergeCell ref="EK89:EW89"/>
    <mergeCell ref="EX89:FJ89"/>
    <mergeCell ref="A90:AJ90"/>
    <mergeCell ref="AK90:AP90"/>
    <mergeCell ref="AQ90:BB90"/>
    <mergeCell ref="BC90:BT90"/>
    <mergeCell ref="BU90:CG90"/>
    <mergeCell ref="CX90:DJ90"/>
    <mergeCell ref="BU87:CG87"/>
    <mergeCell ref="EK88:EW88"/>
    <mergeCell ref="CX87:DJ87"/>
    <mergeCell ref="DK87:DW87"/>
    <mergeCell ref="DX87:EJ87"/>
    <mergeCell ref="EK87:EW87"/>
    <mergeCell ref="EX87:FJ87"/>
    <mergeCell ref="CX86:DJ86"/>
    <mergeCell ref="EK84:EW84"/>
    <mergeCell ref="EX84:FJ84"/>
    <mergeCell ref="CX85:DJ85"/>
    <mergeCell ref="DK85:DW85"/>
    <mergeCell ref="DX85:EJ85"/>
    <mergeCell ref="EK85:EW85"/>
    <mergeCell ref="CX84:DJ84"/>
    <mergeCell ref="EX86:FJ86"/>
    <mergeCell ref="AQ83:BB83"/>
    <mergeCell ref="BC83:BT83"/>
    <mergeCell ref="BU83:CG83"/>
    <mergeCell ref="DX84:EJ84"/>
    <mergeCell ref="DX83:EJ83"/>
    <mergeCell ref="CH84:CW84"/>
    <mergeCell ref="DK83:DW83"/>
    <mergeCell ref="DK84:DW84"/>
    <mergeCell ref="CX83:DJ83"/>
    <mergeCell ref="ET28:FJ28"/>
    <mergeCell ref="DK58:DW58"/>
    <mergeCell ref="DX58:EJ58"/>
    <mergeCell ref="EK58:EW58"/>
    <mergeCell ref="DX55:EJ55"/>
    <mergeCell ref="DK72:DW72"/>
    <mergeCell ref="DN31:ED31"/>
    <mergeCell ref="EX59:FJ59"/>
    <mergeCell ref="EX56:FJ56"/>
    <mergeCell ref="EX55:FJ55"/>
    <mergeCell ref="EX83:FJ83"/>
    <mergeCell ref="EX82:FJ82"/>
    <mergeCell ref="DX82:EJ82"/>
    <mergeCell ref="EK82:EW82"/>
    <mergeCell ref="A84:AJ84"/>
    <mergeCell ref="AK84:AP84"/>
    <mergeCell ref="AQ84:BB84"/>
    <mergeCell ref="BC84:BT84"/>
    <mergeCell ref="BU84:CG84"/>
    <mergeCell ref="A83:AJ83"/>
    <mergeCell ref="CH83:CW83"/>
    <mergeCell ref="BC86:BT86"/>
    <mergeCell ref="CH86:CW86"/>
    <mergeCell ref="BU86:CG86"/>
    <mergeCell ref="BC81:BT81"/>
    <mergeCell ref="CH82:CW82"/>
    <mergeCell ref="BU82:CG82"/>
    <mergeCell ref="BU85:CG85"/>
    <mergeCell ref="A85:AJ85"/>
    <mergeCell ref="AQ85:BB85"/>
    <mergeCell ref="BC85:BT85"/>
    <mergeCell ref="A87:AJ87"/>
    <mergeCell ref="AK87:AP87"/>
    <mergeCell ref="AQ87:BB87"/>
    <mergeCell ref="A86:AJ86"/>
    <mergeCell ref="AK86:AP86"/>
    <mergeCell ref="AQ86:BB86"/>
    <mergeCell ref="AK132:AP132"/>
    <mergeCell ref="AQ132:BB132"/>
    <mergeCell ref="BC132:BT132"/>
    <mergeCell ref="AK131:AP131"/>
    <mergeCell ref="AQ131:BB131"/>
    <mergeCell ref="AK127:AP127"/>
    <mergeCell ref="BC128:BT128"/>
    <mergeCell ref="AK129:AP129"/>
    <mergeCell ref="AQ129:BB129"/>
    <mergeCell ref="AQ127:BB127"/>
    <mergeCell ref="A135:AJ135"/>
    <mergeCell ref="AK135:AP135"/>
    <mergeCell ref="AQ135:BB135"/>
    <mergeCell ref="BC135:BT135"/>
    <mergeCell ref="A134:AJ134"/>
    <mergeCell ref="AK134:AP134"/>
    <mergeCell ref="AQ134:BB134"/>
    <mergeCell ref="BC134:BT134"/>
    <mergeCell ref="DX137:EJ137"/>
    <mergeCell ref="EK137:EW137"/>
    <mergeCell ref="EX137:FJ137"/>
    <mergeCell ref="A137:AJ137"/>
    <mergeCell ref="AK137:AP137"/>
    <mergeCell ref="AQ137:BB137"/>
    <mergeCell ref="BC137:BT137"/>
    <mergeCell ref="BU137:CG137"/>
    <mergeCell ref="CH137:CW137"/>
    <mergeCell ref="CX137:DJ137"/>
    <mergeCell ref="EX134:FJ134"/>
    <mergeCell ref="BU134:CG134"/>
    <mergeCell ref="CH135:CW135"/>
    <mergeCell ref="CX135:DJ135"/>
    <mergeCell ref="DK135:DW135"/>
    <mergeCell ref="DX135:EJ135"/>
    <mergeCell ref="EK135:EW135"/>
    <mergeCell ref="EK134:EW134"/>
    <mergeCell ref="DK137:DW137"/>
    <mergeCell ref="A131:AJ131"/>
    <mergeCell ref="EK132:EW132"/>
    <mergeCell ref="A132:AJ132"/>
    <mergeCell ref="EX135:FJ135"/>
    <mergeCell ref="BU135:CG135"/>
    <mergeCell ref="CH134:CW134"/>
    <mergeCell ref="CX134:DJ134"/>
    <mergeCell ref="DK134:DW134"/>
    <mergeCell ref="DX134:EJ134"/>
    <mergeCell ref="A133:AJ133"/>
    <mergeCell ref="AK133:AP133"/>
    <mergeCell ref="EX132:FJ132"/>
    <mergeCell ref="CX133:DJ133"/>
    <mergeCell ref="DK133:DW133"/>
    <mergeCell ref="CX132:DJ132"/>
    <mergeCell ref="DK132:DW132"/>
    <mergeCell ref="DX133:EJ133"/>
    <mergeCell ref="AQ133:BB133"/>
    <mergeCell ref="BC133:BT133"/>
    <mergeCell ref="DK131:DW131"/>
    <mergeCell ref="CX131:DJ131"/>
    <mergeCell ref="DX130:EJ130"/>
    <mergeCell ref="EK130:EW130"/>
    <mergeCell ref="CX130:DJ130"/>
    <mergeCell ref="DK130:DW130"/>
    <mergeCell ref="DX131:EJ131"/>
    <mergeCell ref="EK131:EW131"/>
    <mergeCell ref="CX128:DJ128"/>
    <mergeCell ref="BU130:CG130"/>
    <mergeCell ref="CH128:CW128"/>
    <mergeCell ref="CX129:DJ129"/>
    <mergeCell ref="BU128:CG128"/>
    <mergeCell ref="CH130:CW130"/>
    <mergeCell ref="CH129:CW129"/>
    <mergeCell ref="A130:AJ130"/>
    <mergeCell ref="AK130:AP130"/>
    <mergeCell ref="AQ130:BB130"/>
    <mergeCell ref="BC130:BT130"/>
    <mergeCell ref="CH127:CW127"/>
    <mergeCell ref="AK126:AP126"/>
    <mergeCell ref="BU129:CG129"/>
    <mergeCell ref="AQ126:BB126"/>
    <mergeCell ref="A129:AJ129"/>
    <mergeCell ref="BC126:BT126"/>
    <mergeCell ref="A88:AJ88"/>
    <mergeCell ref="AK88:AP88"/>
    <mergeCell ref="AQ88:BB88"/>
    <mergeCell ref="A121:AJ121"/>
    <mergeCell ref="AK121:AP121"/>
    <mergeCell ref="A99:AJ99"/>
    <mergeCell ref="AK99:AP99"/>
    <mergeCell ref="AK89:AP89"/>
    <mergeCell ref="AQ89:BB89"/>
    <mergeCell ref="A104:AJ104"/>
    <mergeCell ref="A89:AJ89"/>
    <mergeCell ref="A92:AJ92"/>
    <mergeCell ref="AK92:AP92"/>
    <mergeCell ref="AQ120:BB120"/>
    <mergeCell ref="A120:AJ120"/>
    <mergeCell ref="AQ99:BB99"/>
    <mergeCell ref="A100:AJ100"/>
    <mergeCell ref="A102:AJ102"/>
    <mergeCell ref="AK102:AP102"/>
    <mergeCell ref="AQ102:BB102"/>
    <mergeCell ref="AQ121:BB121"/>
    <mergeCell ref="BC121:BT121"/>
    <mergeCell ref="EX120:FJ120"/>
    <mergeCell ref="EX121:FJ121"/>
    <mergeCell ref="CH120:CW120"/>
    <mergeCell ref="CH121:CW121"/>
    <mergeCell ref="CX120:DJ120"/>
    <mergeCell ref="DK120:DW120"/>
    <mergeCell ref="DX120:EJ120"/>
    <mergeCell ref="EK120:EW120"/>
    <mergeCell ref="EX126:FJ126"/>
    <mergeCell ref="EK127:EW127"/>
    <mergeCell ref="CH126:CW126"/>
    <mergeCell ref="BU126:CG126"/>
    <mergeCell ref="DX127:EJ127"/>
    <mergeCell ref="CX126:DJ126"/>
    <mergeCell ref="DX126:EJ126"/>
    <mergeCell ref="DK92:DW92"/>
    <mergeCell ref="CX89:DJ89"/>
    <mergeCell ref="DK89:DW89"/>
    <mergeCell ref="BC89:BT89"/>
    <mergeCell ref="DK119:DW119"/>
    <mergeCell ref="BU123:CG123"/>
    <mergeCell ref="BC122:BT122"/>
    <mergeCell ref="CX122:DJ122"/>
    <mergeCell ref="CH90:CW90"/>
    <mergeCell ref="DK90:DW90"/>
    <mergeCell ref="BU88:CG88"/>
    <mergeCell ref="DX89:EJ89"/>
    <mergeCell ref="DX86:EJ86"/>
    <mergeCell ref="EK86:EW86"/>
    <mergeCell ref="CH87:CW87"/>
    <mergeCell ref="DK80:DW80"/>
    <mergeCell ref="DX80:EJ80"/>
    <mergeCell ref="BU80:CG80"/>
    <mergeCell ref="BU81:CG81"/>
    <mergeCell ref="CH81:CW81"/>
    <mergeCell ref="BC88:BT88"/>
    <mergeCell ref="BU89:CG89"/>
    <mergeCell ref="CH89:CW89"/>
    <mergeCell ref="EK83:EW83"/>
    <mergeCell ref="DK86:DW86"/>
    <mergeCell ref="CH85:CW85"/>
    <mergeCell ref="BC87:BT87"/>
    <mergeCell ref="CX88:DJ88"/>
    <mergeCell ref="DK88:DW88"/>
    <mergeCell ref="DX88:EJ88"/>
    <mergeCell ref="EX81:FJ81"/>
    <mergeCell ref="DK81:DW81"/>
    <mergeCell ref="DX81:EJ81"/>
    <mergeCell ref="EK81:EW81"/>
    <mergeCell ref="EK80:EW80"/>
    <mergeCell ref="CX81:DJ81"/>
    <mergeCell ref="EX80:FJ80"/>
    <mergeCell ref="CX80:DJ80"/>
    <mergeCell ref="EK60:EW60"/>
    <mergeCell ref="DK60:DW60"/>
    <mergeCell ref="DX65:EJ65"/>
    <mergeCell ref="EX65:FJ65"/>
    <mergeCell ref="DK78:DW78"/>
    <mergeCell ref="DX61:EJ61"/>
    <mergeCell ref="EK77:EW77"/>
    <mergeCell ref="EX77:FJ77"/>
    <mergeCell ref="EX71:FJ71"/>
    <mergeCell ref="DK70:DW70"/>
    <mergeCell ref="EX64:FJ64"/>
    <mergeCell ref="EK69:EW69"/>
    <mergeCell ref="EX66:FJ66"/>
    <mergeCell ref="CX79:DJ79"/>
    <mergeCell ref="BU70:CG70"/>
    <mergeCell ref="BU72:CG72"/>
    <mergeCell ref="BU77:CG77"/>
    <mergeCell ref="CH68:CW68"/>
    <mergeCell ref="CX64:DJ64"/>
    <mergeCell ref="DX79:EJ79"/>
    <mergeCell ref="CX71:DJ71"/>
    <mergeCell ref="DK71:DW71"/>
    <mergeCell ref="CH72:CW72"/>
    <mergeCell ref="CX70:DJ70"/>
    <mergeCell ref="CX72:DJ72"/>
    <mergeCell ref="CH71:CW71"/>
    <mergeCell ref="CH70:CW70"/>
    <mergeCell ref="BC82:BT82"/>
    <mergeCell ref="AK81:AP81"/>
    <mergeCell ref="AQ81:BB81"/>
    <mergeCell ref="BC80:BT80"/>
    <mergeCell ref="DK79:DW79"/>
    <mergeCell ref="CX67:DJ67"/>
    <mergeCell ref="CH77:CW77"/>
    <mergeCell ref="BU76:CG76"/>
    <mergeCell ref="CH80:CW80"/>
    <mergeCell ref="BC73:BT73"/>
    <mergeCell ref="BC62:BT62"/>
    <mergeCell ref="BU79:CG79"/>
    <mergeCell ref="CH78:CW78"/>
    <mergeCell ref="CH79:CW79"/>
    <mergeCell ref="AK67:AP67"/>
    <mergeCell ref="AQ70:BB70"/>
    <mergeCell ref="AK65:AP65"/>
    <mergeCell ref="AQ65:BB65"/>
    <mergeCell ref="DK76:DW76"/>
    <mergeCell ref="AK77:AP77"/>
    <mergeCell ref="BC79:BT79"/>
    <mergeCell ref="DK77:DW77"/>
    <mergeCell ref="CX76:DJ76"/>
    <mergeCell ref="CX75:DJ75"/>
    <mergeCell ref="BC77:BT77"/>
    <mergeCell ref="CH76:CW76"/>
    <mergeCell ref="AK79:AP79"/>
    <mergeCell ref="AQ76:BB76"/>
    <mergeCell ref="AQ79:BB79"/>
    <mergeCell ref="BC76:BT76"/>
    <mergeCell ref="DX72:EJ72"/>
    <mergeCell ref="DX74:EJ74"/>
    <mergeCell ref="AQ73:BB73"/>
    <mergeCell ref="BC78:BT78"/>
    <mergeCell ref="BU78:CG78"/>
    <mergeCell ref="CX78:DJ78"/>
    <mergeCell ref="CH75:CW75"/>
    <mergeCell ref="A60:AJ60"/>
    <mergeCell ref="AK60:AP60"/>
    <mergeCell ref="A64:AJ64"/>
    <mergeCell ref="AK64:AP64"/>
    <mergeCell ref="A70:AJ70"/>
    <mergeCell ref="A62:AJ62"/>
    <mergeCell ref="AK61:AP61"/>
    <mergeCell ref="AK66:AP66"/>
    <mergeCell ref="AK73:AP73"/>
    <mergeCell ref="BC70:BT70"/>
    <mergeCell ref="A72:AJ72"/>
    <mergeCell ref="AQ72:BB72"/>
    <mergeCell ref="BC72:BT72"/>
    <mergeCell ref="A68:AJ68"/>
    <mergeCell ref="AK70:AP70"/>
    <mergeCell ref="BC66:BT66"/>
    <mergeCell ref="AK68:AP68"/>
    <mergeCell ref="AK62:AP62"/>
    <mergeCell ref="BC60:BT60"/>
    <mergeCell ref="CX65:DJ65"/>
    <mergeCell ref="BC64:BT64"/>
    <mergeCell ref="AK63:AP63"/>
    <mergeCell ref="AQ64:BB64"/>
    <mergeCell ref="BU63:CG63"/>
    <mergeCell ref="BU62:CG62"/>
    <mergeCell ref="CH63:CW63"/>
    <mergeCell ref="CX63:DJ63"/>
    <mergeCell ref="BU60:CG60"/>
    <mergeCell ref="DX60:EJ60"/>
    <mergeCell ref="AK59:AP59"/>
    <mergeCell ref="AQ59:BB59"/>
    <mergeCell ref="DK59:DW59"/>
    <mergeCell ref="DX59:EJ59"/>
    <mergeCell ref="CX59:DJ59"/>
    <mergeCell ref="AQ60:BB60"/>
    <mergeCell ref="CH59:CW59"/>
    <mergeCell ref="CH60:CW60"/>
    <mergeCell ref="BU58:CG58"/>
    <mergeCell ref="A50:AJ50"/>
    <mergeCell ref="BC50:BT50"/>
    <mergeCell ref="BU54:CG54"/>
    <mergeCell ref="BC55:BT55"/>
    <mergeCell ref="BU55:CG55"/>
    <mergeCell ref="A57:AJ57"/>
    <mergeCell ref="BU57:CG57"/>
    <mergeCell ref="AK53:AP53"/>
    <mergeCell ref="AQ53:BB53"/>
    <mergeCell ref="DK52:DW52"/>
    <mergeCell ref="A58:AJ58"/>
    <mergeCell ref="AK58:AP58"/>
    <mergeCell ref="BC58:BT58"/>
    <mergeCell ref="AQ58:BB58"/>
    <mergeCell ref="CH54:CW54"/>
    <mergeCell ref="CH53:CW53"/>
    <mergeCell ref="A53:AJ53"/>
    <mergeCell ref="A56:AJ56"/>
    <mergeCell ref="AK54:AP54"/>
    <mergeCell ref="AQ54:BB54"/>
    <mergeCell ref="BC54:BT54"/>
    <mergeCell ref="AK55:AP55"/>
    <mergeCell ref="CX54:DJ54"/>
    <mergeCell ref="A54:AJ54"/>
    <mergeCell ref="AQ55:BB55"/>
    <mergeCell ref="CH55:CW55"/>
    <mergeCell ref="CX55:DJ55"/>
    <mergeCell ref="BC59:BT59"/>
    <mergeCell ref="BU59:CG59"/>
    <mergeCell ref="BU53:CG53"/>
    <mergeCell ref="CX50:DJ50"/>
    <mergeCell ref="DK50:DW50"/>
    <mergeCell ref="DK51:DW51"/>
    <mergeCell ref="CX52:DJ52"/>
    <mergeCell ref="BC53:BT53"/>
    <mergeCell ref="CX53:DJ53"/>
    <mergeCell ref="CX58:DJ58"/>
    <mergeCell ref="DX50:EJ50"/>
    <mergeCell ref="BU50:CG50"/>
    <mergeCell ref="DX51:EJ51"/>
    <mergeCell ref="DX53:EJ53"/>
    <mergeCell ref="EK53:EW53"/>
    <mergeCell ref="EX53:FJ53"/>
    <mergeCell ref="DX52:EJ52"/>
    <mergeCell ref="BU52:CG52"/>
    <mergeCell ref="EX50:FJ50"/>
    <mergeCell ref="DK53:DW53"/>
    <mergeCell ref="AK51:AP51"/>
    <mergeCell ref="AQ51:BB51"/>
    <mergeCell ref="BC51:BT51"/>
    <mergeCell ref="BU51:CG51"/>
    <mergeCell ref="CH50:CW50"/>
    <mergeCell ref="CX51:DJ51"/>
    <mergeCell ref="CH49:CW49"/>
    <mergeCell ref="CX49:DJ49"/>
    <mergeCell ref="CF31:CV31"/>
    <mergeCell ref="CW31:DM31"/>
    <mergeCell ref="CW34:DM34"/>
    <mergeCell ref="EE31:ES31"/>
    <mergeCell ref="EE33:ES33"/>
    <mergeCell ref="CF35:CV35"/>
    <mergeCell ref="EK49:EW49"/>
    <mergeCell ref="DX49:EJ49"/>
    <mergeCell ref="CF32:CV32"/>
    <mergeCell ref="A25:AM25"/>
    <mergeCell ref="BK28:CE28"/>
    <mergeCell ref="AT35:BB35"/>
    <mergeCell ref="A32:AM32"/>
    <mergeCell ref="AN28:AS28"/>
    <mergeCell ref="BK27:CE27"/>
    <mergeCell ref="CF27:CV27"/>
    <mergeCell ref="A26:AM26"/>
    <mergeCell ref="EE28:ES28"/>
    <mergeCell ref="CF33:CV33"/>
    <mergeCell ref="CW32:DM32"/>
    <mergeCell ref="CW33:DM33"/>
    <mergeCell ref="A33:AM33"/>
    <mergeCell ref="DN33:ED33"/>
    <mergeCell ref="A28:AM28"/>
    <mergeCell ref="AT31:BB31"/>
    <mergeCell ref="BK31:CE31"/>
    <mergeCell ref="AT32:BB32"/>
    <mergeCell ref="DN26:ED26"/>
    <mergeCell ref="EE26:ES26"/>
    <mergeCell ref="CW25:DM25"/>
    <mergeCell ref="DN25:ED25"/>
    <mergeCell ref="AT25:BB25"/>
    <mergeCell ref="EE25:ES25"/>
    <mergeCell ref="BK25:CE25"/>
    <mergeCell ref="CW28:DM28"/>
    <mergeCell ref="A23:AM23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ET24:FJ24"/>
    <mergeCell ref="EE24:ES24"/>
    <mergeCell ref="A20:AM20"/>
    <mergeCell ref="CW24:DM24"/>
    <mergeCell ref="AT20:BB20"/>
    <mergeCell ref="AT22:BB22"/>
    <mergeCell ref="AT24:BB24"/>
    <mergeCell ref="A21:AM21"/>
    <mergeCell ref="AN21:AS21"/>
    <mergeCell ref="AT21:BB21"/>
    <mergeCell ref="ET25:FJ25"/>
    <mergeCell ref="DN24:ED24"/>
    <mergeCell ref="AN22:AS22"/>
    <mergeCell ref="BK20:CE20"/>
    <mergeCell ref="CF24:CV24"/>
    <mergeCell ref="CF22:CV22"/>
    <mergeCell ref="BK22:CE22"/>
    <mergeCell ref="BK24:CE24"/>
    <mergeCell ref="CW23:DM23"/>
    <mergeCell ref="AN24:AS24"/>
    <mergeCell ref="ET21:FJ21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AT16:BB17"/>
    <mergeCell ref="A16:AM17"/>
    <mergeCell ref="A18:AM18"/>
    <mergeCell ref="AN18:AS18"/>
    <mergeCell ref="CF18:CV18"/>
    <mergeCell ref="CW18:DM18"/>
    <mergeCell ref="AT18:BB18"/>
    <mergeCell ref="CF16:ES16"/>
    <mergeCell ref="DN18:ED18"/>
    <mergeCell ref="EE18:ES18"/>
    <mergeCell ref="BK8:EC8"/>
    <mergeCell ref="A8:BB8"/>
    <mergeCell ref="EG9:EQ9"/>
    <mergeCell ref="P10:EC10"/>
    <mergeCell ref="ET11:FJ11"/>
    <mergeCell ref="EJ11:ES11"/>
    <mergeCell ref="ET8:FJ8"/>
    <mergeCell ref="V9:EB9"/>
    <mergeCell ref="ET9:FJ9"/>
    <mergeCell ref="ET5:FJ5"/>
    <mergeCell ref="A1:EQ1"/>
    <mergeCell ref="A2:EQ2"/>
    <mergeCell ref="ET6:FJ6"/>
    <mergeCell ref="ET1:FJ2"/>
    <mergeCell ref="BJ7:CD7"/>
    <mergeCell ref="CE7:CI7"/>
    <mergeCell ref="CJ7:CK7"/>
    <mergeCell ref="ET16:FJ17"/>
    <mergeCell ref="CF17:CV17"/>
    <mergeCell ref="CW17:DM17"/>
    <mergeCell ref="DN17:ED17"/>
    <mergeCell ref="ET10:FJ10"/>
    <mergeCell ref="EG10:EQ10"/>
    <mergeCell ref="ET12:FJ12"/>
    <mergeCell ref="BK18:CE18"/>
    <mergeCell ref="CF20:CV20"/>
    <mergeCell ref="BK30:CE30"/>
    <mergeCell ref="CF30:CV30"/>
    <mergeCell ref="ET7:FJ7"/>
    <mergeCell ref="A3:EQ3"/>
    <mergeCell ref="A4:EQ4"/>
    <mergeCell ref="AN26:AS26"/>
    <mergeCell ref="AN20:AS20"/>
    <mergeCell ref="A14:FJ14"/>
    <mergeCell ref="A55:AJ55"/>
    <mergeCell ref="BC48:BT49"/>
    <mergeCell ref="AN27:AS27"/>
    <mergeCell ref="AT27:BB27"/>
    <mergeCell ref="A30:AM30"/>
    <mergeCell ref="EE17:ES17"/>
    <mergeCell ref="AN16:AS17"/>
    <mergeCell ref="BK16:CE17"/>
    <mergeCell ref="AQ50:BB50"/>
    <mergeCell ref="AN25:AS25"/>
    <mergeCell ref="A51:AJ51"/>
    <mergeCell ref="BK19:CE19"/>
    <mergeCell ref="CF26:CV26"/>
    <mergeCell ref="CF28:CV28"/>
    <mergeCell ref="A34:AM34"/>
    <mergeCell ref="AN34:AS34"/>
    <mergeCell ref="CF25:CV25"/>
    <mergeCell ref="A22:AM22"/>
    <mergeCell ref="A24:AM24"/>
    <mergeCell ref="CF34:CV34"/>
    <mergeCell ref="AK83:AP83"/>
    <mergeCell ref="A59:AJ59"/>
    <mergeCell ref="BU48:CG49"/>
    <mergeCell ref="AK52:AP52"/>
    <mergeCell ref="AQ52:BB52"/>
    <mergeCell ref="BC52:BT52"/>
    <mergeCell ref="AK50:AP50"/>
    <mergeCell ref="A52:AJ52"/>
    <mergeCell ref="AK48:AP49"/>
    <mergeCell ref="AQ48:BB49"/>
    <mergeCell ref="A78:AJ78"/>
    <mergeCell ref="AQ77:BB77"/>
    <mergeCell ref="AQ78:BB78"/>
    <mergeCell ref="A82:AJ82"/>
    <mergeCell ref="A79:AJ79"/>
    <mergeCell ref="A81:AJ81"/>
    <mergeCell ref="AK78:AP78"/>
    <mergeCell ref="AK80:AP80"/>
    <mergeCell ref="AQ80:BB80"/>
    <mergeCell ref="A80:AJ80"/>
    <mergeCell ref="AN32:AS32"/>
    <mergeCell ref="A27:AM27"/>
    <mergeCell ref="AT28:BB28"/>
    <mergeCell ref="A31:AM31"/>
    <mergeCell ref="AN31:AS31"/>
    <mergeCell ref="AT33:BB33"/>
    <mergeCell ref="A29:AM29"/>
    <mergeCell ref="A67:AJ67"/>
    <mergeCell ref="AQ67:BB67"/>
    <mergeCell ref="BC67:BT67"/>
    <mergeCell ref="EX67:FJ67"/>
    <mergeCell ref="EK76:EW76"/>
    <mergeCell ref="EK67:EW67"/>
    <mergeCell ref="DK68:DW68"/>
    <mergeCell ref="DX68:EJ68"/>
    <mergeCell ref="DX71:EJ71"/>
    <mergeCell ref="DX76:EJ76"/>
    <mergeCell ref="DX78:EJ78"/>
    <mergeCell ref="EK79:EW79"/>
    <mergeCell ref="DX121:EJ121"/>
    <mergeCell ref="EX76:FJ76"/>
    <mergeCell ref="A77:AJ77"/>
    <mergeCell ref="A76:AJ76"/>
    <mergeCell ref="AK76:AP76"/>
    <mergeCell ref="AK85:AP85"/>
    <mergeCell ref="AK82:AP82"/>
    <mergeCell ref="AQ82:BB82"/>
    <mergeCell ref="EX69:FJ69"/>
    <mergeCell ref="CX68:DJ68"/>
    <mergeCell ref="EK68:EW68"/>
    <mergeCell ref="CH65:CW65"/>
    <mergeCell ref="EK129:EW129"/>
    <mergeCell ref="EK121:EW121"/>
    <mergeCell ref="DX67:EJ67"/>
    <mergeCell ref="DK67:DW67"/>
    <mergeCell ref="DK75:DW75"/>
    <mergeCell ref="DX70:EJ70"/>
    <mergeCell ref="EX78:FJ78"/>
    <mergeCell ref="EX74:FJ74"/>
    <mergeCell ref="EK70:EW70"/>
    <mergeCell ref="EX70:FJ70"/>
    <mergeCell ref="EK73:EW73"/>
    <mergeCell ref="EK72:EW72"/>
    <mergeCell ref="EX72:FJ72"/>
    <mergeCell ref="EK78:EW78"/>
    <mergeCell ref="EX73:FJ73"/>
    <mergeCell ref="EK74:EW74"/>
    <mergeCell ref="CH48:EJ48"/>
    <mergeCell ref="A48:AJ49"/>
    <mergeCell ref="DN35:ED35"/>
    <mergeCell ref="EE35:ES35"/>
    <mergeCell ref="EE34:ES34"/>
    <mergeCell ref="EK48:FJ48"/>
    <mergeCell ref="BK35:CE35"/>
    <mergeCell ref="AT34:BB34"/>
    <mergeCell ref="A35:AM35"/>
    <mergeCell ref="AN35:AS35"/>
    <mergeCell ref="EX130:FJ130"/>
    <mergeCell ref="AK120:AP120"/>
    <mergeCell ref="BC120:BT120"/>
    <mergeCell ref="BU120:CG120"/>
    <mergeCell ref="DK129:DW129"/>
    <mergeCell ref="DX129:EJ129"/>
    <mergeCell ref="EX129:FJ129"/>
    <mergeCell ref="CX121:DJ121"/>
    <mergeCell ref="DK123:DW123"/>
    <mergeCell ref="BU121:CG121"/>
    <mergeCell ref="AQ128:BB128"/>
    <mergeCell ref="CX82:DJ82"/>
    <mergeCell ref="DK121:DW121"/>
    <mergeCell ref="DX77:EJ77"/>
    <mergeCell ref="CX77:DJ77"/>
    <mergeCell ref="DK82:DW82"/>
    <mergeCell ref="DK93:DW93"/>
    <mergeCell ref="DK94:DW94"/>
    <mergeCell ref="DK95:DW95"/>
    <mergeCell ref="CX119:DJ119"/>
    <mergeCell ref="AQ124:BB124"/>
    <mergeCell ref="DX122:EJ122"/>
    <mergeCell ref="BU124:CG124"/>
    <mergeCell ref="AQ123:BB123"/>
    <mergeCell ref="BC123:BT123"/>
    <mergeCell ref="AQ122:BB122"/>
    <mergeCell ref="BC129:BT129"/>
    <mergeCell ref="A128:AJ128"/>
    <mergeCell ref="AK128:AP128"/>
    <mergeCell ref="A124:AJ124"/>
    <mergeCell ref="AK124:AP124"/>
    <mergeCell ref="AK122:AP122"/>
    <mergeCell ref="A123:AJ123"/>
    <mergeCell ref="AK123:AP123"/>
    <mergeCell ref="A122:AJ122"/>
    <mergeCell ref="A126:AJ126"/>
    <mergeCell ref="BC127:BT127"/>
    <mergeCell ref="BU127:CG127"/>
    <mergeCell ref="A127:AJ127"/>
    <mergeCell ref="BC124:BT124"/>
    <mergeCell ref="CX127:DJ127"/>
    <mergeCell ref="CX124:DJ124"/>
    <mergeCell ref="A125:AJ125"/>
    <mergeCell ref="AK125:AP125"/>
    <mergeCell ref="AQ125:BB125"/>
    <mergeCell ref="BC125:BT125"/>
    <mergeCell ref="ET29:FJ29"/>
    <mergeCell ref="DK128:DW128"/>
    <mergeCell ref="DX128:EJ128"/>
    <mergeCell ref="EK128:EW128"/>
    <mergeCell ref="CX123:DJ123"/>
    <mergeCell ref="EK124:EW124"/>
    <mergeCell ref="DK127:DW127"/>
    <mergeCell ref="EK126:EW126"/>
    <mergeCell ref="DX124:EJ124"/>
    <mergeCell ref="DX123:EJ123"/>
    <mergeCell ref="AN29:AS29"/>
    <mergeCell ref="AT29:BB29"/>
    <mergeCell ref="BK29:CE29"/>
    <mergeCell ref="CF29:CV29"/>
    <mergeCell ref="CW30:DM30"/>
    <mergeCell ref="CH52:CW52"/>
    <mergeCell ref="CH51:CW51"/>
    <mergeCell ref="BK33:CE33"/>
    <mergeCell ref="BK34:CE34"/>
    <mergeCell ref="CW35:DM35"/>
    <mergeCell ref="EX127:FJ127"/>
    <mergeCell ref="EK62:EW62"/>
    <mergeCell ref="DK126:DW126"/>
    <mergeCell ref="CH124:CW124"/>
    <mergeCell ref="EX124:FJ124"/>
    <mergeCell ref="CH123:CW123"/>
    <mergeCell ref="CX73:DJ73"/>
    <mergeCell ref="DK73:DW73"/>
    <mergeCell ref="DK74:DW74"/>
    <mergeCell ref="EX79:FJ79"/>
    <mergeCell ref="A75:AJ75"/>
    <mergeCell ref="AK75:AP75"/>
    <mergeCell ref="AQ75:BB75"/>
    <mergeCell ref="BC75:BT75"/>
    <mergeCell ref="BU75:CG75"/>
    <mergeCell ref="BU74:CG74"/>
    <mergeCell ref="A74:AJ74"/>
    <mergeCell ref="AK74:AP74"/>
    <mergeCell ref="AQ74:BB74"/>
    <mergeCell ref="BC69:BT69"/>
    <mergeCell ref="BU69:CG69"/>
    <mergeCell ref="CH69:CW69"/>
    <mergeCell ref="EE29:ES29"/>
    <mergeCell ref="EX61:FJ61"/>
    <mergeCell ref="ET34:FJ34"/>
    <mergeCell ref="ET35:FJ35"/>
    <mergeCell ref="ET30:FJ30"/>
    <mergeCell ref="ET33:FJ33"/>
    <mergeCell ref="CX61:DJ61"/>
    <mergeCell ref="EE23:ES23"/>
    <mergeCell ref="CX69:DJ69"/>
    <mergeCell ref="EK65:EW65"/>
    <mergeCell ref="DK64:DW64"/>
    <mergeCell ref="EX68:FJ68"/>
    <mergeCell ref="DK62:DW62"/>
    <mergeCell ref="DN29:ED29"/>
    <mergeCell ref="DK69:DW69"/>
    <mergeCell ref="DX69:EJ69"/>
    <mergeCell ref="ET23:FJ23"/>
    <mergeCell ref="EE30:ES30"/>
    <mergeCell ref="BU61:CG61"/>
    <mergeCell ref="DX75:EJ75"/>
    <mergeCell ref="EK75:EW75"/>
    <mergeCell ref="EX75:FJ75"/>
    <mergeCell ref="DX73:EJ73"/>
    <mergeCell ref="CX74:DJ74"/>
    <mergeCell ref="EX49:FJ49"/>
    <mergeCell ref="DN34:ED34"/>
    <mergeCell ref="A47:FJ47"/>
    <mergeCell ref="CW29:DM29"/>
    <mergeCell ref="BU68:CG68"/>
    <mergeCell ref="BK32:CE32"/>
    <mergeCell ref="DK49:DW49"/>
    <mergeCell ref="AN23:AS23"/>
    <mergeCell ref="AT23:BB23"/>
    <mergeCell ref="BK23:CE23"/>
    <mergeCell ref="CF23:CV23"/>
    <mergeCell ref="BC61:BT61"/>
    <mergeCell ref="BC68:BT68"/>
    <mergeCell ref="AQ61:BB61"/>
    <mergeCell ref="AQ66:BB66"/>
    <mergeCell ref="BU64:CG64"/>
    <mergeCell ref="AQ62:BB62"/>
    <mergeCell ref="AQ68:BB68"/>
    <mergeCell ref="DN23:ED23"/>
    <mergeCell ref="AN30:AS30"/>
    <mergeCell ref="AT30:BB30"/>
    <mergeCell ref="CH67:CW67"/>
    <mergeCell ref="DN30:ED30"/>
    <mergeCell ref="A61:AJ61"/>
    <mergeCell ref="BC74:BT74"/>
    <mergeCell ref="A73:AJ73"/>
    <mergeCell ref="BU65:CG65"/>
    <mergeCell ref="AK69:AP69"/>
    <mergeCell ref="AQ69:BB69"/>
    <mergeCell ref="A63:AJ63"/>
    <mergeCell ref="BU67:CG67"/>
    <mergeCell ref="AQ63:BB63"/>
    <mergeCell ref="BC63:BT63"/>
    <mergeCell ref="A65:AJ65"/>
    <mergeCell ref="DX64:EJ64"/>
    <mergeCell ref="BU66:CG66"/>
    <mergeCell ref="DK66:DW66"/>
    <mergeCell ref="BU122:CG122"/>
    <mergeCell ref="DK124:DW124"/>
    <mergeCell ref="CH64:CW64"/>
    <mergeCell ref="BU73:CG73"/>
    <mergeCell ref="CH73:CW73"/>
    <mergeCell ref="CH74:CW74"/>
    <mergeCell ref="DX125:EJ125"/>
    <mergeCell ref="EK125:EW125"/>
    <mergeCell ref="DK63:DW63"/>
    <mergeCell ref="CH66:CW66"/>
    <mergeCell ref="DK65:DW65"/>
    <mergeCell ref="EK66:EW66"/>
    <mergeCell ref="DX66:EJ66"/>
    <mergeCell ref="EK64:EW64"/>
    <mergeCell ref="CX66:DJ66"/>
    <mergeCell ref="EK71:EW71"/>
    <mergeCell ref="EK123:EW123"/>
    <mergeCell ref="EX122:FJ122"/>
    <mergeCell ref="BU125:CG125"/>
    <mergeCell ref="CH125:CW125"/>
    <mergeCell ref="DX119:EJ119"/>
    <mergeCell ref="EK119:EW119"/>
    <mergeCell ref="EX119:FJ119"/>
    <mergeCell ref="CH119:CW119"/>
    <mergeCell ref="CX125:DJ125"/>
    <mergeCell ref="DK125:DW125"/>
    <mergeCell ref="EK122:EW122"/>
    <mergeCell ref="CH122:CW122"/>
    <mergeCell ref="EX125:FJ125"/>
    <mergeCell ref="DK122:DW122"/>
    <mergeCell ref="A119:AJ119"/>
    <mergeCell ref="AK119:AP119"/>
    <mergeCell ref="AQ119:BB119"/>
    <mergeCell ref="BC119:BT119"/>
    <mergeCell ref="BU119:CG119"/>
    <mergeCell ref="EX123:FJ123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123</v>
      </c>
      <c r="AF4" s="197"/>
      <c r="AG4" s="197"/>
      <c r="AH4" s="197"/>
      <c r="AI4" s="197"/>
      <c r="AJ4" s="197" t="s">
        <v>124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125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126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127</v>
      </c>
      <c r="AF5" s="201"/>
      <c r="AG5" s="201"/>
      <c r="AH5" s="201"/>
      <c r="AI5" s="201"/>
      <c r="AJ5" s="201" t="s">
        <v>128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129</v>
      </c>
      <c r="AU5" s="201"/>
      <c r="AV5" s="201"/>
      <c r="AW5" s="201"/>
      <c r="AX5" s="201"/>
      <c r="AY5" s="201"/>
      <c r="AZ5" s="201"/>
      <c r="BA5" s="201"/>
      <c r="BB5" s="201"/>
      <c r="BC5" s="201" t="s">
        <v>130</v>
      </c>
      <c r="BD5" s="201"/>
      <c r="BE5" s="201"/>
      <c r="BF5" s="201"/>
      <c r="BG5" s="201"/>
      <c r="BH5" s="201"/>
      <c r="BI5" s="201"/>
      <c r="BJ5" s="201"/>
      <c r="BK5" s="201"/>
      <c r="BL5" s="201" t="s">
        <v>130</v>
      </c>
      <c r="BM5" s="201"/>
      <c r="BN5" s="201"/>
      <c r="BO5" s="201"/>
      <c r="BP5" s="201"/>
      <c r="BQ5" s="201"/>
      <c r="BR5" s="201"/>
      <c r="BS5" s="201"/>
      <c r="BT5" s="201"/>
      <c r="BU5" s="201" t="s">
        <v>131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132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133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134</v>
      </c>
      <c r="AU6" s="201"/>
      <c r="AV6" s="201"/>
      <c r="AW6" s="201"/>
      <c r="AX6" s="201"/>
      <c r="AY6" s="201"/>
      <c r="AZ6" s="201"/>
      <c r="BA6" s="201"/>
      <c r="BB6" s="201"/>
      <c r="BC6" s="201" t="s">
        <v>135</v>
      </c>
      <c r="BD6" s="201"/>
      <c r="BE6" s="201"/>
      <c r="BF6" s="201"/>
      <c r="BG6" s="201"/>
      <c r="BH6" s="201"/>
      <c r="BI6" s="201"/>
      <c r="BJ6" s="201"/>
      <c r="BK6" s="201"/>
      <c r="BL6" s="201" t="s">
        <v>136</v>
      </c>
      <c r="BM6" s="201"/>
      <c r="BN6" s="201"/>
      <c r="BO6" s="201"/>
      <c r="BP6" s="201"/>
      <c r="BQ6" s="201"/>
      <c r="BR6" s="201"/>
      <c r="BS6" s="201"/>
      <c r="BT6" s="201"/>
      <c r="BU6" s="201" t="s">
        <v>137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134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138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139</v>
      </c>
      <c r="BD7" s="201"/>
      <c r="BE7" s="201"/>
      <c r="BF7" s="201"/>
      <c r="BG7" s="201"/>
      <c r="BH7" s="201"/>
      <c r="BI7" s="201"/>
      <c r="BJ7" s="201"/>
      <c r="BK7" s="201"/>
      <c r="BL7" s="201" t="s">
        <v>140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1109849.7000000179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1109849.7000000179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144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210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211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146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1109849.7000000179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1109849.7000000179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P22" sqref="BP22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147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123</v>
      </c>
      <c r="AF3" s="197"/>
      <c r="AG3" s="197"/>
      <c r="AH3" s="197"/>
      <c r="AI3" s="197"/>
      <c r="AJ3" s="197" t="s">
        <v>124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125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126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127</v>
      </c>
      <c r="AF4" s="201"/>
      <c r="AG4" s="201"/>
      <c r="AH4" s="201"/>
      <c r="AI4" s="201"/>
      <c r="AJ4" s="201" t="s">
        <v>128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129</v>
      </c>
      <c r="AU4" s="201"/>
      <c r="AV4" s="201"/>
      <c r="AW4" s="201"/>
      <c r="AX4" s="201"/>
      <c r="AY4" s="201"/>
      <c r="AZ4" s="201"/>
      <c r="BA4" s="201"/>
      <c r="BB4" s="201"/>
      <c r="BC4" s="201" t="s">
        <v>130</v>
      </c>
      <c r="BD4" s="201"/>
      <c r="BE4" s="201"/>
      <c r="BF4" s="201"/>
      <c r="BG4" s="201"/>
      <c r="BH4" s="201"/>
      <c r="BI4" s="201"/>
      <c r="BJ4" s="201"/>
      <c r="BK4" s="201"/>
      <c r="BL4" s="201" t="s">
        <v>130</v>
      </c>
      <c r="BM4" s="201"/>
      <c r="BN4" s="201"/>
      <c r="BO4" s="201"/>
      <c r="BP4" s="201"/>
      <c r="BQ4" s="201"/>
      <c r="BR4" s="201"/>
      <c r="BS4" s="201"/>
      <c r="BT4" s="201"/>
      <c r="BU4" s="201" t="s">
        <v>131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132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133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134</v>
      </c>
      <c r="AU5" s="201"/>
      <c r="AV5" s="201"/>
      <c r="AW5" s="201"/>
      <c r="AX5" s="201"/>
      <c r="AY5" s="201"/>
      <c r="AZ5" s="201"/>
      <c r="BA5" s="201"/>
      <c r="BB5" s="201"/>
      <c r="BC5" s="201" t="s">
        <v>135</v>
      </c>
      <c r="BD5" s="201"/>
      <c r="BE5" s="201"/>
      <c r="BF5" s="201"/>
      <c r="BG5" s="201"/>
      <c r="BH5" s="201"/>
      <c r="BI5" s="201"/>
      <c r="BJ5" s="201"/>
      <c r="BK5" s="201"/>
      <c r="BL5" s="201" t="s">
        <v>136</v>
      </c>
      <c r="BM5" s="201"/>
      <c r="BN5" s="201"/>
      <c r="BO5" s="201"/>
      <c r="BP5" s="201"/>
      <c r="BQ5" s="201"/>
      <c r="BR5" s="201"/>
      <c r="BS5" s="201"/>
      <c r="BT5" s="201"/>
      <c r="BU5" s="201" t="s">
        <v>137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134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138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139</v>
      </c>
      <c r="BD6" s="201"/>
      <c r="BE6" s="201"/>
      <c r="BF6" s="201"/>
      <c r="BG6" s="201"/>
      <c r="BH6" s="201"/>
      <c r="BI6" s="201"/>
      <c r="BJ6" s="201"/>
      <c r="BK6" s="201"/>
      <c r="BL6" s="201" t="s">
        <v>140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1109849.7000000179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1109849.7000000179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149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-183865393.48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-183865393.48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SUM('01.10.2016'!CH51:CW51)</f>
        <v>184975243.18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184975243.18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159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160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161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162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163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162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164</v>
      </c>
      <c r="C30" s="255" t="s">
        <v>328</v>
      </c>
      <c r="D30" s="255"/>
      <c r="E30" s="255"/>
      <c r="F30" s="25" t="s">
        <v>165</v>
      </c>
      <c r="G30" s="24"/>
      <c r="H30" s="255" t="s">
        <v>329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166</v>
      </c>
      <c r="V30" s="255" t="s">
        <v>212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2016-10-03T11:48:23Z</cp:lastPrinted>
  <dcterms:created xsi:type="dcterms:W3CDTF">2005-02-01T12:32:18Z</dcterms:created>
  <dcterms:modified xsi:type="dcterms:W3CDTF">2016-10-14T06:48:49Z</dcterms:modified>
  <cp:category/>
  <cp:version/>
  <cp:contentType/>
  <cp:contentStatus/>
</cp:coreProperties>
</file>